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260" windowWidth="20120" windowHeight="7580" activeTab="0"/>
  </bookViews>
  <sheets>
    <sheet name="SKUPNA REKAPITULACIJA" sheetId="1" r:id="rId1"/>
    <sheet name="REKAPITULACIJA GRADBENA DELA " sheetId="2" r:id="rId2"/>
    <sheet name="UPRAVIČENI STROŠKI GOI" sheetId="3" r:id="rId3"/>
    <sheet name="PRIPRAVLJALNA DELA" sheetId="4" r:id="rId4"/>
    <sheet name="FASADA" sheetId="5" r:id="rId5"/>
    <sheet name="STAVBNO POHIŠTVO" sheetId="6" r:id="rId6"/>
    <sheet name="STREHA" sheetId="7" r:id="rId7"/>
    <sheet name="ZUNANJA UREDITEV - PRESTAVITEV " sheetId="8" r:id="rId8"/>
    <sheet name="NEUPRAVIČENI STROŠKI GOI" sheetId="9" r:id="rId9"/>
    <sheet name="STROJNE INSTALACIJE" sheetId="10" r:id="rId10"/>
  </sheets>
  <externalReferences>
    <externalReference r:id="rId13"/>
  </externalReferences>
  <definedNames>
    <definedName name="DobMont">'[1]OSNOVA'!$B$32</definedName>
    <definedName name="FakStro">'[1]OSNOVA'!$B$30</definedName>
    <definedName name="OZN">'[1]OSNOVA'!$B$26</definedName>
    <definedName name="_xlnm.Print_Area" localSheetId="4">'FASADA'!$A$1:$F$122</definedName>
    <definedName name="_xlnm.Print_Area" localSheetId="5">'STAVBNO POHIŠTVO'!$A$3:$F$92</definedName>
  </definedNames>
  <calcPr fullCalcOnLoad="1"/>
</workbook>
</file>

<file path=xl/sharedStrings.xml><?xml version="1.0" encoding="utf-8"?>
<sst xmlns="http://schemas.openxmlformats.org/spreadsheetml/2006/main" count="882" uniqueCount="409">
  <si>
    <t>Pos.</t>
  </si>
  <si>
    <t xml:space="preserve">Opis postavke </t>
  </si>
  <si>
    <t>Količina</t>
  </si>
  <si>
    <t>Cena</t>
  </si>
  <si>
    <t>Skupaj</t>
  </si>
  <si>
    <t>m2</t>
  </si>
  <si>
    <t>Odbijanje dotrajanega ometa na posameznih mestih s čiščenjem reg do globine 1.0 - 2.0 cm. Komplet z odvozom odstranjenega materiala na trajno deponijo s plačilom vseh stroškov te deponije.</t>
  </si>
  <si>
    <t>kom</t>
  </si>
  <si>
    <t>SKUPAJ</t>
  </si>
  <si>
    <t>3.</t>
  </si>
  <si>
    <t>STAVBNO POHIŠTVO</t>
  </si>
  <si>
    <t>FASADA</t>
  </si>
  <si>
    <t>1.</t>
  </si>
  <si>
    <t>2.</t>
  </si>
  <si>
    <t>STREHA</t>
  </si>
  <si>
    <t>Dobava in montaža kamnitih pragov, debeline 5 cm, širine do 40 cm.</t>
  </si>
  <si>
    <t>m'</t>
  </si>
  <si>
    <t>4.</t>
  </si>
  <si>
    <t>Izdelava varnostnega elaborata gradbišča- elaborat izdela pooblaščena oseba</t>
  </si>
  <si>
    <t>VSE SKUPAJ brez DDV</t>
  </si>
  <si>
    <t>5.</t>
  </si>
  <si>
    <t>Z1-Z2</t>
  </si>
  <si>
    <t>Z2-Z3</t>
  </si>
  <si>
    <t>m3</t>
  </si>
  <si>
    <t>Prilagoditev inštalacijskih omaric (elektro in telefon) na novo fasado, ki je debelejša od obstoječe za debelino toplotne izolacije. Omarice so različnih velikosti.</t>
  </si>
  <si>
    <t>Z3-Z4</t>
  </si>
  <si>
    <t>Z4-Z5</t>
  </si>
  <si>
    <t>Z5-Z6</t>
  </si>
  <si>
    <t>Z6-Z7</t>
  </si>
  <si>
    <t>Z7-Z8</t>
  </si>
  <si>
    <t>J1-J2</t>
  </si>
  <si>
    <t>Odstranitev zunanjih enot klima naprav s spremljajočo instalacijo ter ponovna montaža po končanih fasaderskih delih. Sidra za zunanjo enoto, morajo biti vgrajena pred izvedbo zaključnega sloja in sidrana v nosilni zid.</t>
  </si>
  <si>
    <t>J2-J3</t>
  </si>
  <si>
    <t>J4-J5</t>
  </si>
  <si>
    <t>V6-V5</t>
  </si>
  <si>
    <t>V5-V4</t>
  </si>
  <si>
    <t>V4-V3</t>
  </si>
  <si>
    <t>V3-V4</t>
  </si>
  <si>
    <t>V3-V2</t>
  </si>
  <si>
    <t>V2-V1</t>
  </si>
  <si>
    <t>S5-S4</t>
  </si>
  <si>
    <t>S3-S2</t>
  </si>
  <si>
    <t>ATRIJ KUHINJE</t>
  </si>
  <si>
    <t>LETNI KINO ATRIJ</t>
  </si>
  <si>
    <t>J3-J4</t>
  </si>
  <si>
    <t>V1-V2</t>
  </si>
  <si>
    <t>V2-V3</t>
  </si>
  <si>
    <t>V4-V5</t>
  </si>
  <si>
    <t>S1-S2</t>
  </si>
  <si>
    <t>S2-S3</t>
  </si>
  <si>
    <t>S3-S4</t>
  </si>
  <si>
    <t>S4-S5</t>
  </si>
  <si>
    <t>V5-V6 + ATRIJ KUHINJA</t>
  </si>
  <si>
    <t>Nabava, dobava in pozidava odprtin na mestih odstranjenih oken z opečnimi zidaki debeline do 30cm,  komplet z vsemi pomožnimi deli in zaključno AB horizontalno vezjo višine 15cm.</t>
  </si>
  <si>
    <t>Izdelava klasičnih grobih in finih ometov na zidove iz opečnega modularja z apnenocementno malto 1:2:6 s predhodnim obrizgom z r.c.m. 1:3, komplet z vsemi potrebnimi pomožnimi deli in zaključnimi vogalnimi letvami.</t>
  </si>
  <si>
    <t>Izvedba oz. krpanje fasade z grobo apneno malto s predhodnim cementnim obrizgom in premazom z elastosilom; pred izvedbo nove toplotne izolacije</t>
  </si>
  <si>
    <t>Začasna demontaža ograje za izvedbo fasade in ponovna montaža po končanih delih</t>
  </si>
  <si>
    <t>kpl</t>
  </si>
  <si>
    <t>Prestavitev kovinskih požarnih stopnic (24 nastopnih ploskev), zaradi izvedbe obloge fasade, popravilo in ponovna vgradnja - ATRIJ LETNI KINO</t>
  </si>
  <si>
    <t>FASADA SKUPAJ</t>
  </si>
  <si>
    <t>PRIPRAVLJALNA in ZAKLJUČNA DELA</t>
  </si>
  <si>
    <t xml:space="preserve"> - pri vseh rušitvenih delih je potrebno v cene/enote upoštevati pogoje iz Uredbe o ravnanju z odpadki in načrt gospodarjenja z gradbenimi odpadki; investitorju je potrebno predati evidenčne liste</t>
  </si>
  <si>
    <t xml:space="preserve"> - v ceni/enoto so zajeti odvozi in plačilo takse ter vsi notranji horizontalni in vertikalni prenosi in pomožni odri</t>
  </si>
  <si>
    <t>Demontaža, rušitev obstoječe strešne kritine tegola, komplet s podkonstrukcijo do AB strehe oz. nosilne konstrukcije strehe, z nakladanjem na kamion in odvoz na deponijo. Komplet z vsemi potrebnimi dodatnimi deli in materiali.</t>
  </si>
  <si>
    <t>Demontaža, rušitev obstoječe vertikalne zaporne stene iz strešnih opečnih zareznikov na podkonstrukciji, z nakladanjem na kamion in odvoz na deponijo. Komplet z vsemi potrebnimi dodatnimi deli in materiali.</t>
  </si>
  <si>
    <t>Demontaža oz. rušitev obstoječe sestave ravnih strešin, komplet prod in morebitne folije ter hidroizolacija do nosilne konstrukcije strehe, komplet z nakladanjem na kamion in odvoz na deponijo. Komplet z vsemi potrebnimi dodatnimi deli in materiali.</t>
  </si>
  <si>
    <t>Demontaža oz. rušenje vseh obstoječih kleparskih izdelkov - dimniške obrobe, odtočne cevi, kolena, kotlički, žlebovi, zidne in žlotne obrobe,  obrobe betonskih vencev in odduhi, komplet z nakladanjem materiala na kamion in odvoz deponijo.</t>
  </si>
  <si>
    <t>Ročno odbijanje poškodovanega betona na betonskih vencih žlebov (čelne in zgornje stranice) ter parapetnih zidcev na strehi, struganje vencev, čiščenje podlage, prednamaz za boljšo oprijemljivost in sanacija s sanacijsko malto, nakladanje na kamion in odvoz ruševin na deponijo - količina je ocenjena; obračun po dejanskih izmerah</t>
  </si>
  <si>
    <t>I. RUŠITVENA DELA</t>
  </si>
  <si>
    <t xml:space="preserve">Izdelava horizontalne hidroizolacije strehe deb. 1cm s predhodno cementno izravnavo in pripravo podlage ter hladnim premazom z ibitolom in izolacijo Izotekt T4, komplet s 100% zavarjenimi spoji in vsemi potrebnimi pomožnimi deli </t>
  </si>
  <si>
    <t>Nabava, dobava in polaganje geotekstila 400gr, kot zaščita hidroizolacije in ločilna plast med prodom in izolacijo, komplet z vsemi pomožnimi deli in čiščenjem podlage pred polaganjem ter nabavo in dobavo proda v debelini do 15cm</t>
  </si>
  <si>
    <t>Nabava, dobava in vgradnja toplotne izolacije med špirovce debeline 16cm, komplet z vsemi preddeli in pomožnimi deli ter pritrjevanjem in PVC folijo - sestava S1</t>
  </si>
  <si>
    <t xml:space="preserve">Nabava, dobava in montaža strešne konstrukcije enokapnice iz smrekovega lesa II. kvalitete, komplet s sidranjem v betonske konstrukcije oz. vez - slemenska lega se sidra v obstoječi zid; vsi leseni deli so impregnirani s sredstvom proti insektom; komplet z vsemi preddeli in pomožnimi deli. </t>
  </si>
  <si>
    <t>Dobava in izdelava strešnega opaža iz lesa II. Kvalitete, deb. 2,4cm vključno s premazom 1x proti insektom in pritrdilnim materialom.</t>
  </si>
  <si>
    <t>Dobava in postavitev dvojnih lesenih strešnih letev 3/5 cm, komplet z vsem pritrdilnim materialom. Vsi leseni deli zaščiteni z zaščitnimi premazi.</t>
  </si>
  <si>
    <t>II. ZIDARSKA DELA</t>
  </si>
  <si>
    <t>Dobava in polaganje vodonepropustne in paropropustne folije (npr. TYVEK soft) na strešne površine v sestavi S1, s prenosi in s pomožnimi deli na objektu, obračun po m2</t>
  </si>
  <si>
    <t>a.</t>
  </si>
  <si>
    <t xml:space="preserve">Izolirano sleme objekta r.š. 500mm s tesnilom (2x), izolacijo, masko plošče r.š. 105mm(2x) in masko slemena r.š. 330mm, vse po detajlu  </t>
  </si>
  <si>
    <t>b.</t>
  </si>
  <si>
    <t>zidna obroba - odkapnik stene ob strehi r.š. 633mm, vključno s termoizolacijo, vogalniki, butilnim tesnilnim trakom in zaključkom odkapnika ob strehi, r.š. do 125mm komplet z vsem pritrdilnim in tesnilnim materialom - vse po detajlu</t>
  </si>
  <si>
    <t>c.</t>
  </si>
  <si>
    <t>d.</t>
  </si>
  <si>
    <t>e.</t>
  </si>
  <si>
    <t>f.</t>
  </si>
  <si>
    <t>zidna obroba nad parapetnimi zidnimi zaključki strehe r.š. 1100mm, vključno s čelnimi zaključki in maskami, butilnim tesnilnim trakom, komplet z vsem pritrdilnim in tesnilnim materialom - vse po detajlu</t>
  </si>
  <si>
    <t>strešni odduhi oz. zračniki fi 220mm</t>
  </si>
  <si>
    <t>dimniška obroba r.š. 700mm in masko</t>
  </si>
  <si>
    <t>čelna obroba AB vencev skupne  r.š. 1600mm - izdelanih iz dveh delov, komplet s kitanjem s trajnoelastičnim kitom - po detajlu</t>
  </si>
  <si>
    <t>Nabava, dobava in vgradnja toplotne "mehke" izolacije žlebov v debelini 20cm, poraba 0,65m2/m', komplet z zaščito in potrebno podkonstrukcijo</t>
  </si>
  <si>
    <t>III.TESARSKA DELA</t>
  </si>
  <si>
    <t>IV. KROVSKO - KLEPARSKA DELA</t>
  </si>
  <si>
    <t>REKAPITULACIJA STREHA</t>
  </si>
  <si>
    <t>STREHA SKUPAJ</t>
  </si>
  <si>
    <t>Nabava, dobava in sanacija dimnikov;obloga dimnikov s pločevino</t>
  </si>
  <si>
    <t>ZUNANJA UREDITEV</t>
  </si>
  <si>
    <t>Nabava, dobava in izdelava tankoslojnega zaključnega akril sloja v beli barvi s predhodnim 2x nanosom lepila in fasadne mrežice ter čiščenjem obstoječega nanosa iz zidov, predhodnim premazom obstoječih opleskanih površin z akril emulzijo, odkapniki in vogalniki.</t>
  </si>
  <si>
    <t>3- krilni element 300x80cm</t>
  </si>
  <si>
    <t>4- krilni element 395x215cm</t>
  </si>
  <si>
    <t>2 - krilni element 195x215cm</t>
  </si>
  <si>
    <t>3- krilni element 290x245cm</t>
  </si>
  <si>
    <t>6 - krilni element 600x200cm</t>
  </si>
  <si>
    <t>6 - krilni element 600x130cm</t>
  </si>
  <si>
    <t>1 - krilni element 96x140cm</t>
  </si>
  <si>
    <t>1 - krilni element 115x120cm</t>
  </si>
  <si>
    <t>2 - krilni element 220x280cm</t>
  </si>
  <si>
    <t>12 - krilni element 720x296cm</t>
  </si>
  <si>
    <t>7 - krilni element 585x290cm</t>
  </si>
  <si>
    <t>7 - krilni element 600x295cm</t>
  </si>
  <si>
    <t>4 - krilni element 400x210cm</t>
  </si>
  <si>
    <t>4 - krilni element 400x145cm</t>
  </si>
  <si>
    <t>2- krilni element 195x245cm</t>
  </si>
  <si>
    <t>3 - krilni element 295x245cm</t>
  </si>
  <si>
    <t>1 - krilni element 95x245cm</t>
  </si>
  <si>
    <t>2 - krilni element 143x240cm</t>
  </si>
  <si>
    <t>3 - krilni element 300x100cm</t>
  </si>
  <si>
    <t>3 - krilni element 180x295cm</t>
  </si>
  <si>
    <t>2- krilni element 170x210cm</t>
  </si>
  <si>
    <t>1 - krilni element 96x120cm</t>
  </si>
  <si>
    <t>2 - krilni element 140x120cm</t>
  </si>
  <si>
    <t>1 - krilni element 100x80cm</t>
  </si>
  <si>
    <t>4 - krilni element 400x80cm</t>
  </si>
  <si>
    <t>2- krilni element 200x80cm</t>
  </si>
  <si>
    <t>2- krilni element 200x140cm</t>
  </si>
  <si>
    <t>1 - krilni element 100x60cm</t>
  </si>
  <si>
    <t>1 - krilni element 200x60cm</t>
  </si>
  <si>
    <t>4 - krilni element 400x60cm</t>
  </si>
  <si>
    <t>1 - krilni element 140x140cm</t>
  </si>
  <si>
    <t>2- krilni element 190x130cm</t>
  </si>
  <si>
    <t>2- krilni element 190x220cm</t>
  </si>
  <si>
    <t>1 - krilni element 190x150cm</t>
  </si>
  <si>
    <t>3 - krilni element 190x270cm</t>
  </si>
  <si>
    <t>6 - krilni element 600x160cm</t>
  </si>
  <si>
    <t>3 - krilni element 295x80cm</t>
  </si>
  <si>
    <t>4 - krilni element 395x210cm</t>
  </si>
  <si>
    <t>2- krilni element 200x130cm</t>
  </si>
  <si>
    <t>6 - krilni element 320x300cm</t>
  </si>
  <si>
    <t>1 - krilni element 110x180cm</t>
  </si>
  <si>
    <t>1 - krilni element 86x80cm</t>
  </si>
  <si>
    <t>3 - krilni element 298x360cm</t>
  </si>
  <si>
    <t>1 - krilni element 95x210cm</t>
  </si>
  <si>
    <t>3 - krilni element 300x80cm</t>
  </si>
  <si>
    <t>1 - krilni element 85x200cm</t>
  </si>
  <si>
    <t>4 - krilni element 395x250cm</t>
  </si>
  <si>
    <t>1 - krilni element 95x160cm</t>
  </si>
  <si>
    <t>3 - krilni element 186x250cm</t>
  </si>
  <si>
    <t>3 - krilni element 160x250cm</t>
  </si>
  <si>
    <t>1 - krilni element 90x200cm</t>
  </si>
  <si>
    <t>2- krilni element 160x80cm</t>
  </si>
  <si>
    <t>2- krilni element 180x80cm</t>
  </si>
  <si>
    <t>3 - krilni element 280x80cm</t>
  </si>
  <si>
    <t>2- krilni element 195x80cm</t>
  </si>
  <si>
    <t>2- krilni element 156x210cm</t>
  </si>
  <si>
    <t>4 - krilni element 296x205cm</t>
  </si>
  <si>
    <t>3 - krilni element 146x300cm</t>
  </si>
  <si>
    <t>6 - krilni element 440x205cm</t>
  </si>
  <si>
    <t>2- krilni element 156x220cm</t>
  </si>
  <si>
    <t>2- krilni element 195x225cm</t>
  </si>
  <si>
    <t>4 - krilni element 240x280cm</t>
  </si>
  <si>
    <t>2- krilni element 155x220cm</t>
  </si>
  <si>
    <t>1 - krilni element 76x75cm</t>
  </si>
  <si>
    <t>3 - krilni element 285x175cm</t>
  </si>
  <si>
    <t>2- krilni element 235x80cm</t>
  </si>
  <si>
    <t>12 - krilni element 600x290cm</t>
  </si>
  <si>
    <t>8 - krilni element 410x290cm</t>
  </si>
  <si>
    <t>3 - krilni element 155x290cm</t>
  </si>
  <si>
    <t>NADSTREŠKI IN RAVNE STREHE</t>
  </si>
  <si>
    <t>Enako kot postavka 5., vendar fasadne plošče večje tlačne trdnosti in boljše odpornosti na udarce, debeline 18 cm, nekih karakteristik kot osnovna fasada, vključno z zaključnim ometom. Območje cokla objekta v višini 20cm.</t>
  </si>
  <si>
    <r>
      <t>Nabava, dobava in izvedba celotnega fasadnega sistema z uporabo toplotne izolacije s fasadnimi ploščami debeline 18 cm, vključno s postavitvijo in uporabo gradbenega odra, ki se ga uporabi tudi za sanacijo strehe (obračun samo 1x), zidarskim popravilom in obdelavo špalet širine do 40cm. Fasada je sestavljena iz naslednjih slojev: ustrezno lepilo, fasadna plošča - izolacija (λ = 0,038W/mK)</t>
    </r>
    <r>
      <rPr>
        <b/>
        <sz val="10"/>
        <rFont val="Verdana"/>
        <family val="2"/>
      </rPr>
      <t xml:space="preserve">, </t>
    </r>
    <r>
      <rPr>
        <sz val="10"/>
        <rFont val="Verdana"/>
        <family val="2"/>
      </rPr>
      <t xml:space="preserve">debeline 18cm, plošče ustrezno lepljene in sidrane (min 4kom/m2) na AB ali opečni zid, armirana mrežica, malta, prednamaz, zaključni akrilni omet v barvi po izbiri projektanta, vsemi odkapniki in vogalniki ter obloga betonskih nosilcev. </t>
    </r>
  </si>
  <si>
    <t>Enako kot postavka 5., vendar fasadne plošče večje tlačne trdnosti in boljše odpornosti na udarce, debeline 5 cm za izravnavo razlik v obstoječi debelini fasade, enakih karakteristik kot osnovna fasada, na katerega se naknadno vgradi toplotna izolacija cokla.</t>
  </si>
  <si>
    <t>Pranje fasade z visokotlačnim čistilcem pod pritiskom 80-100 bar pred nanosom lepila zaradi oprijemljivosti.</t>
  </si>
  <si>
    <t>Dobava in nanos osnovnega premaza po celotni površini fasade kot npr. akril emulzija za oprijemljivost obstoječe podlage z lepilom, mešano z vodo v razmerju 1:1.</t>
  </si>
  <si>
    <t>Ročna demontaža raznih svetlobnih izveskov in informacijskih tabel, nosilcev za zastave, hidrantov z nosilci, nabiralnikov in deponija na gradbišču do dokončanja del ter ponovna montaža na nova sidra oz. vijake po končanih delih.</t>
  </si>
  <si>
    <t>Ročna demontaža spominske plošče, deponija na gradbišču do dokončanja del ter ponovna montaža na nova sidra oz. vijake po končanih delih.</t>
  </si>
  <si>
    <t>Ročna demontaža raznih železnih vratic in stikal z deponijo na gradbišču do dokončanja del ter zapolnitev odprtin na fasadi za izravnavo fasade.</t>
  </si>
  <si>
    <t>Izvedba sanacije v območju cokla ter izvedba hidroizolacije objekta proti kapilarni vlagi, s predhodno pripravo podlage.</t>
  </si>
  <si>
    <t>Barvanje notranjih okenskih in vratnih špalet širine 40cm s poldisperzijsko barvo 2x in predhodnim kitanjem poškodb, ki so nastale pri demontaži oken ter 2 x brušenjem, kitanjem in čiščenjem podlage pred nanosom barve.</t>
  </si>
  <si>
    <t>STAVBNO POHIŠTVO SKUPAJ</t>
  </si>
  <si>
    <t>Ročno odstranjevanje dampa stropa s podkonstrukcijo na terasi atrija eltnega kina, zaradi izvedbe izolacije in fasade, nakladanje in odvoz na deponijo.</t>
  </si>
  <si>
    <t>Ročno odstranjevanje cokla iz keramike oz. pločevine, nakladanje in odvoz na deponijo zaradi izvedbe fasade.</t>
  </si>
  <si>
    <t>ATRIJ LETNI KINO</t>
  </si>
  <si>
    <t>2 - krilni element 215x276cm</t>
  </si>
  <si>
    <t>Demontaža obstoječih prezračevalnih rešetk, nakladanje in odvoz na deponijo, ter nabava, dobava in montaža novih ALU rešetk z okvirjem, prašno barvanih v RAL, komplet s pritrdilnim in tesnilnim materialom</t>
  </si>
  <si>
    <t>dim. 100/60cm</t>
  </si>
  <si>
    <t>dim. 165/86cm</t>
  </si>
  <si>
    <t>dim. 290/45cm</t>
  </si>
  <si>
    <t>dim.140/45cm</t>
  </si>
  <si>
    <t>dim. 195/80cm</t>
  </si>
  <si>
    <t>Čiščenje obstoječe podlage dimnika kotlovnice, pomožni odri za izvedbo slikopleskarskih del, čiščenjem podlage pred nanosom barve in 2x oplesk s fasadno barvo.</t>
  </si>
  <si>
    <t>Demontaža in ponovna montaža strelovodne obstoječe instalacije vključno s podkonstrukcijo za strelovod, izvedba meritev elektroinstalacij zaradi sanancije in vgradnje toplotne izolacije fasade in strehe.</t>
  </si>
  <si>
    <r>
      <t>OPOMBA: v cenah/enoto je potrebno upoštevati sledeče;</t>
    </r>
    <r>
      <rPr>
        <sz val="9"/>
        <rFont val="Verdana"/>
        <family val="2"/>
      </rPr>
      <t xml:space="preserve"> zaradi loma strešine je potrebno preveriti možnost izravnave podloge strešine, v nasprotnem primeru je potrebno dvigniti višino podkonstrukcije na osnovni strešini, ker mora biti nova kritina v enotnem naklonu.  </t>
    </r>
  </si>
  <si>
    <t>Nabava, dobava in montaža ognjevarnega strešnega panela (kovina, izolacija, kovina) z debelino izolacije 22cm. Toplotna prevodnost teh panelov znaša λ =  0,038W/mk na kovinski podkonstrukciji ( kovinski profili 60/40/3 mm na rastru 250 cm) kot osnova za vijačenje novih panelov, barva po RAL lestvici, vključno z vijačnim in tesnilnim materialom ter vsemi deli in elementi; vertikalna obloga</t>
  </si>
  <si>
    <t>Izdelava, dobava in montaža zaključnih elementov strehe iz ALU barvane pločevine, debeline 0,76mm, barva kot kritina po RAL lestvici, komplet z vsemi pritditvenimi materiali in deli</t>
  </si>
  <si>
    <t>Obnovitev in zavarovanje zakoličbe osi trase zunanje meteorne kanalizacije</t>
  </si>
  <si>
    <t>m</t>
  </si>
  <si>
    <t>Postavljavljanje gradbenih profilov na mestih, kjer se trasa smerno ali višinsko spremeni, vključno z zakoličbo točk</t>
  </si>
  <si>
    <t>kos</t>
  </si>
  <si>
    <t xml:space="preserve">Ročno strojni izkop jarka za kanalizacijo v terenu IV. ktg., vključno z direktnim nakladanjem materiala na prevozno sredstvo in odvozom na deponijo. Obračun po dejansko izvršenih delih  </t>
  </si>
  <si>
    <t xml:space="preserve">Ročno planiranje dna kanala po projektirani niveleti s točnostjo +- 3 cm </t>
  </si>
  <si>
    <t xml:space="preserve">Izdelava betonske posteljice v predpisani debelini iz C12/15 in obbetoniranje cevi 10 cm nad temenom </t>
  </si>
  <si>
    <t>Nabava, dobava in polaganje kanalizacijskih cevi iz trdega pvc SN4 , ustrezne EN1610, vključno s spojnimi elementi in dobavo ter priključitvijo na jaške. DN125</t>
  </si>
  <si>
    <t>Nabava, dobava in polaganje kanalizacijskih cevi iz trdega pvc SN4 , ustrezne EN1610, vključno s spojnimi elementi in dobavo ter priključitvijo na jaške. DN160</t>
  </si>
  <si>
    <t>Strojni zasip kanala z zasipnim materialom s komprimiranjem in planiranjem</t>
  </si>
  <si>
    <t>Strojni zasip kanala s tamponskim kamnitim materialom 0-32mm s komprimiranjem in planiranjem</t>
  </si>
  <si>
    <t>Izdelava peskolovova iz BC fi50, na betonski temeljni plošči debeline 20 cm, globine do 1,5m. Stene in dno se obdelajo s fcm in hidrotes+ . Skupaj z vsemi deli. Globina usedalnika 50 cm</t>
  </si>
  <si>
    <t>Izdelava peskolovova iz BC fi40, na betonski temeljni plošči debeline 20 cm, globine do 1,5m. Stene in dno se obdelajo s fcm in hidrotes+ . Skupaj z vsemi deli. Globina usedalnika 50 cm</t>
  </si>
  <si>
    <t>Izdelava revizijskega oz. kaskadnega jaška iz BC fi60, na betonski temeljni plošči debeline 20 cm, globine do 1,5m. Stene in dno se obdelajo s fcm in hidrotes+ . Skupaj z vsemi deli. Jašek na obstoječem kanalu</t>
  </si>
  <si>
    <t>Izdelava priključkov iz požiralnikov v meteorne jaške dolžine do 1m iz PVC cevi fi 125mm komplet obbetoniranih, vključno s priklopi na jaške in koleni</t>
  </si>
  <si>
    <t>Dobava in montaža LTŽ pokrova 600x600mm, nosilnosti 15T, z izvedbo ležišča ter vsemi pomožnimi deli in prenosi</t>
  </si>
  <si>
    <t>Dobava in montaža betonskega pokrova 500x500mm z odprtino za odtočno cev, izvedbo ležišča ter vsemi pomožnimi deli in prenosi</t>
  </si>
  <si>
    <t>Ročno rušenje in odvoz ter nabava, dobava in vgradnja prefabriciranih robnikov 25x15x100 cm v betonsko podlago po detajlu, obbetoniranjem in fugiranjem s FCM, z vsemi preddeli, pomožnimi deli, vtočnimi robniki  in čiščenjem po končanih delih; robniki morajo biti odporni na soljenje - robniki položeni ravno in v radiju</t>
  </si>
  <si>
    <t>m1</t>
  </si>
  <si>
    <t>Izdelava armirane nosilne plasti cementnega betona MB30 iz zmesi karbonatnih kamnin v debelini 15cm, komplet opaž, beton, mreža (5kg/m2), fino zaglajena površina, barvana z barvo za beton - krpanje betonskega tlaka</t>
  </si>
  <si>
    <t>Fino planiranje, humuziranje in zatravitev zelenic s porabo travnega semena do 0,0250kg/m2 in dobavo potrebnega humusa v povprečni debelini 50cm ter razstiranjem  in finim planiranjem (kvadratura je ocenjena)</t>
  </si>
  <si>
    <t>Strojni zarez asfalta, vključno s premazom stika z bitumensko emulzijo</t>
  </si>
  <si>
    <t xml:space="preserve">Strojni zarez betonskega in kamnitega tlaka </t>
  </si>
  <si>
    <t>Strojno rušenje asfalta v debelini do 6cm, nakladanje na kamion in odvoz v deponijo ter plačilo takse</t>
  </si>
  <si>
    <t>Strojno rušenje AB tlaka v debelini do 20cm, nakladanje na kamion in odvoz v deponijo ter plačilo takse</t>
  </si>
  <si>
    <t>Planiranje dna planuma pod asfaltom in betonom</t>
  </si>
  <si>
    <t>Izdelava nevezane nosilne plasti enakomerno zrnatega drobljenca D32 iz kamnine v debelini 10cm s komprimiranjem pod asfaltom; obračun v komprimiranem stanju in asfaltiranje stika</t>
  </si>
  <si>
    <t>Nabava, dobava in ročna vgradnja plasti bituminizirane zmesi AC 8 surf B 50/70 A4 v debelini 4 cm, s predhodnim obrizgomz bitumensko emulzijo in pometanjem podlage</t>
  </si>
  <si>
    <t>Ročno rušenje pranih plošč, nakladanje in odvoz na deponijo ter nabava, dobava in polaganje pranih plošč deb. 4cm na betonski estrih debeline do 6cm in fugiranje s fino cementno malto</t>
  </si>
  <si>
    <t xml:space="preserve">Ročna demontaža oz. rušenje obstoječega kamnitega tlaka in nabava, dobava in montaža kamnitega tlaka debeline 3cm iz žganega granita podobne barve kot obstoječi tlak. Polaganje v sloj cementnega estriha deb. 4cm. Polaganje na stik, v ceni upoštevane vse dilatacije in tesnilni trak oz. material - dimenzije kamna in polaganje po navodilih investitorja </t>
  </si>
  <si>
    <t>Ročni preboji in podkopavanja zidov z odmetom na stran in ponovnim zasipom po končanih delih</t>
  </si>
  <si>
    <t>Zidarsko popravilo betonskih korit; čiščenje oz. ščetkanje, premaz z vodoodbojnim premazom, barvanje s fasadno barvo - temno siva in demontaža ter nabava, dobava in vgradnja novih rešetk 30/30cm, vključno s čiščenjem korit in vtoka</t>
  </si>
  <si>
    <t>Odstranjevanje verige in rušenje betonskega korita, nakladanje na kamion in odvoz na deponijo</t>
  </si>
  <si>
    <t>Rušenje obstoječega jaška, nakladanje na kamion in odvoz</t>
  </si>
  <si>
    <t>Prestavitev obstoječih meteornih jaškov, zaradi dodane debeline izolacije fasade, izdelava priključkov na obstoječe jaške, komplet z vsemi preddeli, obdelavo po končanih delih ter čiščenjem obstoječih jaškov</t>
  </si>
  <si>
    <t>SKUPNA REKAPITULACIJA UPRAVIČENIH STROŠKOV</t>
  </si>
  <si>
    <t>I.</t>
  </si>
  <si>
    <t>UPRAVIČENI STROŠKI</t>
  </si>
  <si>
    <t>NEUPRAVIČENI STROŠKI</t>
  </si>
  <si>
    <t>II.</t>
  </si>
  <si>
    <t>ZIDARSKA IN FASADERSKA DELA</t>
  </si>
  <si>
    <t>ZIDARSKA IN FASADERSKA SKUPAJ</t>
  </si>
  <si>
    <t xml:space="preserve">DDV </t>
  </si>
  <si>
    <t>VSE SKUPAJ Z DDV</t>
  </si>
  <si>
    <t>Ročna in pazljiva odstranitev lesenih obstoječih oken, vrat, zasteklitvenih sten, komplet s steklom, okvirjem, slepimi kovinskimi podboji in zunanjimi in notranjimi policami. Pazljiva odstranitev zaradi ne poškodovanja špalet. Okna in vrata so sestavljena tudi iz več elementov po priloženih shemah, komplet z odvozom odstranjenega materiala na trajno deponijo s plačilom vseh stroškov te deponije.                         Dobava in montaža PVC oken in vrat po shemah kot obstoječe. Profili so 5-komorni Ug=1.27W/m2K, zunanja stran barvana v RAL, notranja bela, okovje je varnostno. Elementi imajo dvojno tesnenje z možnostjo zamenjave tesnil. Zasteklitev troslojna, 32 dB, Ug=0,7W/m2K, Uw=1,1W/m2K. Pritrjevanje stavbnega pohištva z vijaki in purpenom na zunanji rob obstoječe špalete., pod večjimi vrati je predvidena ojačitev Fe profil. Komplet z vsem okovjem, zaključnimi PVC letvicami ter notranjo okensko PVC polico širine do 35 cm in zunanjo ALu polico enak RAL kot okna ter obdelavo notranjih špalet.</t>
  </si>
  <si>
    <t>ZUNANJA UREDITEV SKUPAJ</t>
  </si>
  <si>
    <t>Nabava, dobava in montaža ognjevarnega strešnega panela (kovina, izolacija, kovina) z debelino izolacije 22cm. Toplotna prevodnost teh panelov znaša λ =  0,038W/mk na kovinski podkonstrukciji ( kovinski profili 60/40/3 mm na rastru 250 cm) kot osnova za vijačenje novih panelov, barva po RAL lestvici, vključno z neposrednimi elementi za odvodnjavanje strehe, z vijačnim in tesnilnim materialom ter vsemi deli in elementi.</t>
  </si>
  <si>
    <t>Nabava, dobava in izdelava toplotne izolacije debeline 22 cm (0,038W/mK), ki se jo polaga oz. pritrjuje v stropno konstrukcijo avle, komplet s predhodno demontažo obstoječega stropa. HODNIK - VHOD IZ ATRIJA</t>
  </si>
  <si>
    <t>Nabava, dobava in polaganje podkonstrukcije za suhomontažni knauf strop in dobava in polaganje suhomontažnega stropa iz gips kartonskih plošč - HODNIK - VHOD IZ ATRIJA</t>
  </si>
  <si>
    <t>TESARSKA DELA</t>
  </si>
  <si>
    <t>Organizacija gradbišča v skladu z varnostnim načrtom. Po končanih delih se teren vzpostavi v prvotno stanje.Nabava in postavitev gradbiščne table za časa gradnje za označitev gradbišča, na katerem so navedeni vsi udeleženci pri graditvi objekta, imena, priimki, nazivi in funkcija odgovornih oseb ter naziv objekta.</t>
  </si>
  <si>
    <t xml:space="preserve">Izdelava požarnega načrta komplet                           </t>
  </si>
  <si>
    <t>UVOD V PREDRAČUN</t>
  </si>
  <si>
    <t xml:space="preserve">Vse ostale površine, ki jih bo izvajalec potreboval za gradnjo in za organizacijo gradbišča, si bo moral priskbeti sam na svoje stroške. </t>
  </si>
  <si>
    <t>Prav tako mora v ceni za izgradnjo upoštevati naslednje stroške:</t>
  </si>
  <si>
    <t>- vse stroške za pridobitev začasnih površin za namen gradnje izven območja definiranega vdokumentaciji (soglasja, odškodnine, itd.);</t>
  </si>
  <si>
    <t>- vse stroške v zvezi z začasnim odvozom, deponiranjem in vračanjem materiala na mestih, kjer ga ne bo možno deponirati ob gradbišču;</t>
  </si>
  <si>
    <t>- vse stroške za postavitev gradbišča, gradbiščnih objektov, ureditev začasnih deponij, tekoče vzdrževanje in odstranitev gradbišča;</t>
  </si>
  <si>
    <t>- vse stroške za sanacijo in kultiviranje poškodovanih površin;</t>
  </si>
  <si>
    <t>- omogočati stalen, prost in vzdrževan dostop za potrebe intervencije oz. vzdrževanja;</t>
  </si>
  <si>
    <t>- stroški za izdelavo PID in NOV so upoštevani v poglavju Projektiranje, kot ločena postavka;</t>
  </si>
  <si>
    <t>SPLOŠNE OPOMBE K POPISU</t>
  </si>
  <si>
    <t>- eventuelne začasne deponije in skladišča materiala in potrebni transporti v zvezi s tem;</t>
  </si>
  <si>
    <t>- odvod meteorne vode iz gradbene jame;</t>
  </si>
  <si>
    <t>- delo v kampadah zaradi oteženih razmer;</t>
  </si>
  <si>
    <t>- vzdrževanje gradbišča;</t>
  </si>
  <si>
    <t>- delo v nagnjenem terenu, delo na višini, delo v globini;</t>
  </si>
  <si>
    <t>- v enotno ceno je potrebno vkalkulirati stroške zaradi otežene gradnje.</t>
  </si>
  <si>
    <t>Izvajalec - ponudnik, si mora gradbišče predhodno ogledati.</t>
  </si>
  <si>
    <t>Opombe:</t>
  </si>
  <si>
    <t>Naprave, armatura in material mora biti vedno dobavljena z vsemi veznimi in tesnilnimi elementi, varilnim materalom vse z dobavo, kompletacijo in montažo, ki so zajeti v ceni. Vijačni material mora biti najmanj kvalitete 8.8, skupaj z maticami in podložkami, ter galvaniziran. Priložen mora biti certifikat o sledljivosti materiala po SIST EN 10204 3.1.</t>
  </si>
  <si>
    <t>Poz.</t>
  </si>
  <si>
    <t>Opis postavke</t>
  </si>
  <si>
    <t>Enota</t>
  </si>
  <si>
    <t>Vrednost</t>
  </si>
  <si>
    <t>STROJNE INSTALACIJE</t>
  </si>
  <si>
    <t>Kotel na lesne pelete nazivne moči predvidoma              100 kW</t>
  </si>
  <si>
    <t>Krmiljenje ogrevalnih krogov</t>
  </si>
  <si>
    <t xml:space="preserve">Izvedba skladišča za pelete               </t>
  </si>
  <si>
    <t>-</t>
  </si>
  <si>
    <t>Polnilne pipe</t>
  </si>
  <si>
    <t>Odbojna guma</t>
  </si>
  <si>
    <t>Prvi zagon, navodila za vzdrževanje in uporabo v slovenskem jeziku, garancijska izjava.</t>
  </si>
  <si>
    <t>Šolanje uporabnika in demonstracija delovanja kotla in avtomatike.</t>
  </si>
  <si>
    <t>ni upravičen</t>
  </si>
  <si>
    <t>Sistem za vzdrževanje tlaka - ekspanzija</t>
  </si>
  <si>
    <t>Obtočna črpalka za kotel</t>
  </si>
  <si>
    <t>Zaporna pipa - PN16</t>
  </si>
  <si>
    <t>z navojnim ali prirobničnim priključkom, za toplo vodo do 110°C</t>
  </si>
  <si>
    <t>DN 65</t>
  </si>
  <si>
    <t>DN 50</t>
  </si>
  <si>
    <t>DN 25</t>
  </si>
  <si>
    <t>Servisni ventil - PN16</t>
  </si>
  <si>
    <t>Pritipovratni ventil ali loputa - PN16</t>
  </si>
  <si>
    <t>Lovilec nesnage - PN16</t>
  </si>
  <si>
    <t>Varnostni izpustni ventil</t>
  </si>
  <si>
    <t>komplet z vsem potrebnim montažnim materialom za montažo na dovodni vod.</t>
  </si>
  <si>
    <t>Odzračevalni lončki na kotlovskem krogu</t>
  </si>
  <si>
    <t>komplet z nastavkom za privaritev DN25 s cevno povezavo do skupnega lijaka za izpust.</t>
  </si>
  <si>
    <t>Manometer</t>
  </si>
  <si>
    <t>Termometer</t>
  </si>
  <si>
    <t>v okroglem ohišju, premer pokrova 100 mm, priključek R 1/2, radialno navzdol, merilno območje do 120°C</t>
  </si>
  <si>
    <t>Nivojsko stikalo</t>
  </si>
  <si>
    <t>Regulacijski ventil za nastavitev pretokov</t>
  </si>
  <si>
    <t>Regulacijski ventil za nastavitev pretokov z navojnima ali prirobničnima priključkoma za hidravlično uravnoteženje s prednastavitvijo z nespremenljivo zaslonko za meritev diferenčnega tlaka. Vključno z izvedbo hidravličnega uravnoteženja s strani pooblaščene osebe izdelovalca regulacijskega ventila in izdelavo zapisnika o izvedenem uravnoteženju.</t>
  </si>
  <si>
    <t>kotlovski krog (DN50)</t>
  </si>
  <si>
    <t>Napisna ploščica</t>
  </si>
  <si>
    <t>napisno ploščico namestiti na vrvico s katero se zapečati servisni ventil. Napis mora vsebovati: "ZAPIRANJE JE DOVOLJENO SAMO POOBLAŠČENEMU SERVISERJU MED VZDRŽEVANJEM, KO NAPRAVA NE OBRATUJE !".</t>
  </si>
  <si>
    <t>Cevovodi</t>
  </si>
  <si>
    <t>vključno z vsemi povezavami in prevezavami s  fazoni, iz šivnih jeklenih cevi po DIN 2448, material St 33, spajanje z varjenjem, komplet.</t>
  </si>
  <si>
    <t>DN 100</t>
  </si>
  <si>
    <t>Hitromontažne konzole</t>
  </si>
  <si>
    <t>z gumo, komplet</t>
  </si>
  <si>
    <t>Pleskanje cevovodov in konzol</t>
  </si>
  <si>
    <t>dvakrat z osnovnim premazom po predhodnem čiščenju rje, komplet.</t>
  </si>
  <si>
    <t>Toplotna Izolacija</t>
  </si>
  <si>
    <t xml:space="preserve"> iz steklenih vlakn gostote do 80 kg/m3, komplet z Alu pločevino krivljeno na mestu vgradnje. </t>
  </si>
  <si>
    <t>Pocinkana cev</t>
  </si>
  <si>
    <t>vključno s fazoni in vsem potrebnim pritrdilnim in tesnilnim materialom.</t>
  </si>
  <si>
    <t>DN65</t>
  </si>
  <si>
    <t>DN40</t>
  </si>
  <si>
    <t>DN20</t>
  </si>
  <si>
    <t>Cevovodi sanitarne vode</t>
  </si>
  <si>
    <t>Poliproplineske cevi za razvod hladne vode do odtočnega lijaka v kotlovnici. Primerne za delovno temperaturo do 65°C. Komplet s pritrdilnim materialom, fitingi in navojnimi priključki za armaturo.</t>
  </si>
  <si>
    <t>DN15</t>
  </si>
  <si>
    <t>Izolacija cevi hladne vode</t>
  </si>
  <si>
    <t>Izolacija cevi hladne vode s fleksibilnimi cevaki.</t>
  </si>
  <si>
    <t>Cevi za odtočno kanalizacijo</t>
  </si>
  <si>
    <t xml:space="preserve">PVC odtočna cev vključno s spojnim in tesnilnim materialom, koleni, odcepi in redukcijami. </t>
  </si>
  <si>
    <t>fi50</t>
  </si>
  <si>
    <t>Izpiranje ogrevalnega sistema s pripravljeno vodo</t>
  </si>
  <si>
    <t>Polnjenje ogrevalnega sistema s pripravljeno vodo</t>
  </si>
  <si>
    <t xml:space="preserve">Odzračevanje celotnega ogrevalnega  sistema objekta </t>
  </si>
  <si>
    <t>Tlačni preizkus</t>
  </si>
  <si>
    <t>cevovodov za ogrevanje, cevovod za sanitarno vodo</t>
  </si>
  <si>
    <t>Gasilni aparat</t>
  </si>
  <si>
    <t>na prah s konzolo za pritrditev na steno</t>
  </si>
  <si>
    <t>9 kg</t>
  </si>
  <si>
    <t>6 kg</t>
  </si>
  <si>
    <t>Naprava za gašenje v zalogovniku</t>
  </si>
  <si>
    <t>Delovanje samodejne gasilne ampule pri požaru v zaprtem prostoru se z naraščanjem temperature v prostoru segreva tudi gasilna tekočina, ki se v stekleni ampuli razteza.</t>
  </si>
  <si>
    <t>Pri temperaturi gasilne tekočine cca. 85°C ± 5°C raztezanje povzroči, da se steklo zdrobi in tekočina pade v prostor, kjer se prične endotermni proces, ki povzroči odvzem energije ognju oz. trenutno ohlajevanje v prostoru.</t>
  </si>
  <si>
    <t>Naprava za merjenje toplote</t>
  </si>
  <si>
    <t>Kalorimeter za vodoravno ali navpično vgradnjo komplet s prirobnicami in računsko enoto ter dvema temperaturnima tipaloma ter možnostjo prenosa podatkov.</t>
  </si>
  <si>
    <t>Rešetka za prezračevanje kotlovnice</t>
  </si>
  <si>
    <t>Elementi za prehode str. napeljav skozi požarni zid</t>
  </si>
  <si>
    <t>Tehnološka shema kotlovnice ter toplotne postaje</t>
  </si>
  <si>
    <t xml:space="preserve">shema naj bo plastificirana usreznega merila z dimenzijami ter legendo vgrajenih naprav in armatur </t>
  </si>
  <si>
    <t>Označitev varnega območja z oranžnimi črtami</t>
  </si>
  <si>
    <t>Na tleh kotlovnice se z oranžnimi črtami širine 7cm označi varno pot ki mora tvoriti varni poligon, ki bi obiskovalce zavarovala pred vročimi površinami ter zožanimi ter znižanimi prehodi</t>
  </si>
  <si>
    <t xml:space="preserve">Označitev z varnostnimi znaki </t>
  </si>
  <si>
    <t xml:space="preserve">Izvleček požarnega reda </t>
  </si>
  <si>
    <t>Prostor kotlovnice (in toplotne postaje) opremiti z izvlečkom požarnega reda.</t>
  </si>
  <si>
    <t>Pregled obstoječega dimnika in izdaja mnenja</t>
  </si>
  <si>
    <t>Pregled obstoječega dimnika izvede pooblaščena oseba dimnikarske služba, ki poda mnenje glede načina sanacije. Po izvedenem pregledu dimnika, mora pooblaščena oseba dimnikarske službe pripraviti zapisnik z ugotovitvami.</t>
  </si>
  <si>
    <t>Sanacija dimnika</t>
  </si>
  <si>
    <t>Sanacija obstoječega dimnika zajema vstavitev nerjavečih tuljav glede na tip izbranega kotla vključno z vsem potrebnim materialom, katerega zahtevajo predpisi. Sanacija obstoječega dimnika se izvede skladno z predhosnim mnenjem pooblaščene osebe dimnikarske službe.</t>
  </si>
  <si>
    <t>Pregled novega dimnika in prve meritve naprave</t>
  </si>
  <si>
    <t>Pregled dimnika izvede pooblaščena oseba dimnikarske služba, ki poda mnenje glede ustreznosti saniranega dimnika za priklop kotla na lesne pelete. Pregled se izvede pred pričetkom obratovanja kurilne naprave in sicer ločeno za vsako dimniško. Po izvedenem pregledu dimnika, mora pooblaščena oseba dimnikarske službe pripraviti zapisnik z ugotovitvami.</t>
  </si>
  <si>
    <t>V sklopu pregleda dimnika pooblaščena oseba dimnikarske službe izvede tudi meritve emisij dimnih plinov. Po izvedenih meritvah, mora pooblaščena oseba dimnikarske službe pripravit zapisnik z ugotovitvami.</t>
  </si>
  <si>
    <t>Projekt izvedenih del (PID)</t>
  </si>
  <si>
    <t>skladen z ZGO v 4x pisnih izvodih in 1x v digitalni obliki CD</t>
  </si>
  <si>
    <t>Navodila za obratovanje in vzdrževanje (NOV)</t>
  </si>
  <si>
    <t>vezan na vgrajeno opremo v 4x pisnih izvodih in 1x v digitalni obliki CD</t>
  </si>
  <si>
    <t>%</t>
  </si>
  <si>
    <t>Upravičeni stroški</t>
  </si>
  <si>
    <t>Neupravičeni stroški</t>
  </si>
  <si>
    <t>Vrednost brez DDV</t>
  </si>
  <si>
    <t>GRADBENO OBRTNIŠKA DELA</t>
  </si>
  <si>
    <t>/</t>
  </si>
  <si>
    <t>Hoja, nalaganje drugih bremen po ceveh, armaturi, materialu in drugi opremi je strogo prepovedana.</t>
  </si>
  <si>
    <t>v ceno za enoto so upoštevana tudi naslednja dela: vsi notranji transporti materiala,  preddela, pomožna dela in zaključna dela izdelkov do mesta vgradnje</t>
  </si>
  <si>
    <t>III.</t>
  </si>
  <si>
    <t>SKUPAJ brez DDV</t>
  </si>
  <si>
    <t>IV.</t>
  </si>
  <si>
    <t>PRIBITEK ZA FUNKCIONALNI KLJUČ   v %</t>
  </si>
  <si>
    <t xml:space="preserve">Nizko temperaturni kotel na pelete z avtomatskim vlekom in moduliranim dovajanjem goriva, za krmiljenje moči kotla. Kotel je primeren za kurjenje pelet Dm 6 mm po standardu ÖNORM 7135 oziroma DIN 51731. Kotel je vezan v kaskado z ostalimi kotli. Kotli so v kompletu z vso varnostno opremo in opremo za upravljanje in potrebno opremo za zajem pelet v zalogovniku in njihov transport iz zalogovnika proti kotlu.  </t>
  </si>
  <si>
    <t>Vremensko vodena kotlovska regulacija z možnostjo regulacije posameznih vgrajenih kotlov in do 18 posameznih mešalnih - ogrevalnih krogov ter možnostjo naknadnega dodajanja modulov.</t>
  </si>
  <si>
    <t xml:space="preserve">Regulacija ogrevanja mora biti kompatibilna z obstoječimi regulatorji ogrevanja, obstoječimi regulatorji tople sanitarne vode obstoječimi črpalkami, obstoječimi tipali in ostalo obstoječo ogrevalno opremo, ... Regulacija ogrevanja mora omogočit prenos podatkov med njimi. Obvezna je uskladitev delovanja z vsemi ogrevalnimi krogi in klimati. </t>
  </si>
  <si>
    <t>V sklopu uskladitve delovanja na ogrevalnih krogih se smiselno optimirajo, prilagodijo ali zamenjajo obstoječi ogrevalni elementi oziroma oprema.</t>
  </si>
  <si>
    <t>Komplet z vsem potrebnim ožičenjem in Vključno z konektorjem za priklop rečunalnik.</t>
  </si>
  <si>
    <t>Skladišče za pelete se izvede v samostojnem - požarno ločenem prostoru, ki je tudi predmet izvedbe.                    V prostoru predvidenem za izgradnjo zalogovnika se vsa obstoječa električna inštalacija in električna oprema v celoti odstrani in transportira na ustrezno deponijo.                                                                                     V prostoru zalogovnika se obstoječa cevna ogrevalna inštalacija prestavi na višino minimalno 3,5 m. S tem se omogoči večji izkoristek znotraj samega zalogovnika. Vsi prehodi skozi steno zalogovnika morajo biti izvedeni požarno tesno. Ravno tako mora biti vsa inštalacija ustrezno toplotno izolirana.                                                          V prostoru zalogovnika se na višini ca. 3,0 m zgradi nov požarno odporen spuščen strop. Uporabijo se požarno odporne mavčne plošče (F60), katere se namestijo na predhodno izdelano nosilno konstrukcijo, izdelano in pripravljeno po navodilih proizvajalca mavčnih plošč.                             Montaža poševnega skladišča zajema tudi pripravo varjena kovinska podkonstrukcija in izvedbo klančin iz lesenih OSB plošč z naklonom proti sistemu za odvzem pelet iz zalogovnika.</t>
  </si>
  <si>
    <t xml:space="preserve">V sklopu skladišča se vgradi sistem za zajem pelet in sistem za transport pelet iz smeri zalogovnika proti kotlu. Vsi prehodi skozi steno zalogovnika morajo biti izvedeni požarno tesno. </t>
  </si>
  <si>
    <t>Vhod v prostor zalogovnika se opremi s protipožarnimi dvokrilnimi vrat dimenzije 1500 (750+750)/2150, katera se odpirajo navzven. Minimalno EI60 oziroma v skladu z zasnovo požarne varnosti.</t>
  </si>
  <si>
    <t>Komplet polnilne pipe zajema dobavo in montažo:             -dveh kompletov vpihovalnih pip.                                                  Komplet vpihovalne pipe sestavljata:                                                -polnilna pipa premera 100 mm in                                                                                             -pipa za odvod odvečnega zraka premera 100 mm.                                                                                                                Pri vgradnji polnilne pipe upoštevati debelino predvidene toplotne izolacije.</t>
  </si>
  <si>
    <t>Polnilne pipe morajo biti opremljene s komplet priključkom za polnjenje NW100.</t>
  </si>
  <si>
    <t>Polnilna pipa mora biti poravnana v sredino zalogovnika. Zato uporabiti ustrezno število odprtih kolen 45° premera 100 mm ter ustrezno število ravnih cevi premera 100 mm. Polnilna pipa mora imeti najmanj 0,5 m ravne cevi v primeru izpusta v zalogovnik.</t>
  </si>
  <si>
    <t>Vpihovalne pipe je potrebno v zalogovniku ustrezno pritrditi oziroma trajno fiksirati in preprečiti vibracije.</t>
  </si>
  <si>
    <t>Pri vgradnji vpihovalnih pip je potrebno izenačiti potenciale.</t>
  </si>
  <si>
    <t>Odbojna guma v skladišču za pelete je namenjena zaustavitvi peletov pri vpihovanju in prepečevanju njihovega poškodovanja.</t>
  </si>
  <si>
    <t>Montaža kotlov</t>
  </si>
  <si>
    <t>Montaža kotlov zajema predhodno odstranitev treh dotrajanih kotlovi in rušenje ter odstranitev obstoječih betonskih podstavov. Zajema tudi odstranitev obstoječe  inštalacije do toplotnega zbiralnika/razdelilca.                                   Vse odstranjeno iz prostora kotlovnice se deportira na ustrezno deponijo.                                                                               Izdela se ustrezen nove betonske podstave na katere se namestijo ogrevalni kotli.                                                                   Montaža kotlov zajema kompletno medsebojno montažo in povezavo z pripadajočo opremo in električnimi inštalacijami opreme. V sklopu montaže kotla je predvidena tudi ponovna povezava obstoječega ELKO kotla na ogrevalni krog do funkcionalnega stanja in povezave z kotlovsko avtomatiko.                                                                       Montaža kotla zajema tudi priklop do vertikale dimnika vključno z vsem potrebnim materialom.</t>
  </si>
  <si>
    <t xml:space="preserve">Komplet dobava in montaža kablov NYM-J položenih na kabelske police, utore in uvlečen v PN cevi v dolžini 325 m.                                                                                                     Komplet dobava in montaža kabla NYY-J položenega na kabelske police in uvlečen v PN cevi v dolžini 10 m. Komplet ožičenje posameznih naprav na podlagi navodil in shem proizvajalcev.                                                       Komplet izvedba izenačitev potencialov z žico H07V-K na podlagi navodil proizvajalca in smernic.                                    Komplet ozemljitev večjih kovinskih mas z valjancem Rf 30x3,5 mm oz. z žico H07V-K 16mm2.                                      Komplet dograditev obstoječega razdelilnika R.KOTLARNA z inštalacijskim odkplonikom za varovanje izvoda za nov razdelilnik R.KOT (po shemi), komplet z ioznačevanjem, dopolnitvijo enopolne sheme, ter drobnim materialom.                                                              Razdelilnik R.KOT:
V n/o omarici s ključavnico, z zaščitnimi in regulacijskimi elementi po shemi elektro projekta, komplet z drobnim veznim in pritrdilnim materialom, uvodnicami, oznakami elementov in kablov, ter enopolnimi shemami.                                                            Razdelilnik avtomatika:
V n/o omarici s ključavnico, z zaščitnimi in regulacijskimi elementi, komplet z drobnim veznim in pritrdilnim materialom, uvodnicami, oznakami elementov in kablov, ter enopolnimi shemami.      </t>
  </si>
  <si>
    <t>Za postavitev akomulatorja toplote je v prostoru kotlovnice potrebna predhodna prestavitev obstoječe ogrevalne inštalacije in opreme ter vzpostavitev ponovnega funkcionalnega stanja le te vključno z vsem potrebnim materialom in opremo.</t>
  </si>
  <si>
    <t>Delovanje obstoječega sistema za vzdrževanje tlaka je potrebno pred navezavo novih naprav preveriti.</t>
  </si>
  <si>
    <t>V kolikor je obstoječi sistem za vzdrževanje tlaka izpraven, se le tega prestavi z namenom pridobitve dodatnega prostora znotraj obstoječe kotlovnice. Potrebno je zagotoviti vzpostavitev ponovnega funkcionalnega stanje vključno z vsem potrebnim materialom.</t>
  </si>
  <si>
    <t>V kolikor je obstoječi sistem za vzdrževanje tlaka ni izpraven je potrebna postavitev novega sistema:</t>
  </si>
  <si>
    <t>V = 1200 litrov,   T max. = 90°C,    pmax. = 6  bar.                                                                                         Sistem se se sestoji iz:                                                             - raztezna posoda ustrezne velikosti,                                                                                                                                                        - raztezna posoda s fiksno zračno blazino,                                                   - manometer in zapora za manometer.</t>
  </si>
  <si>
    <t>s frekvenčno regulacijo števila vrtljajev, navojnim ali prirobničnim priključkom, vključno z vsem potrebnim vijačnim materialom. Za toplo vodo do 110°C. Vključno z vsem potrebnim ožičenjem in povezavo z kotlovsko avtomatiko. Q=3,9 m3/h, H=5,7 m - oziroma v skladu s priproročili proizvajalca ogrevalnega kotla.                                Energetski razred A.</t>
  </si>
  <si>
    <t>vzmetni cevni, premer pokrova 100 mm, priključek R 1/2, radialno navzdol, merilna natančnost 1,6°od končne vrednosti skale, merilno območje od 0 do 6,0 bar, komplet z manometersko pipo.</t>
  </si>
  <si>
    <t xml:space="preserve">Predhodno se preveri lokacijo in dimenzijsko (glej tekstualni del) ustreznost obstoječih prezračevalnih odprtin. prezračevanje kotlovnice mora biti izvedeno navzkrižno.                                                                                            Opremljena z jekleno zaščitno rešetko, za zaščito odprtin pred dežjem, izdelana iz nosilnega okvirja, prečnih, posebno oblikovanih lamel iz pocinkane pločevine, ter zaščitne pocinkane žične mreže, pritrjena direktno na steno.            </t>
  </si>
  <si>
    <t>Prostor kotlovnice (in toplotne postaje) in prostor zalogovnika opremiti z ustreznimi znaki prepovedi, opozorilnimi znaki, znaki obveznosti, požarnimi znaki ter znaki za izhod v sili in prvo pomoč.</t>
  </si>
  <si>
    <t>Akumulator toplote predvidoma 2200 Litrski z toplotno izolacijo</t>
  </si>
  <si>
    <t>Zunaj in znotaj je akumulator antikorozijsko zaščiten, s prirobničnimi priključki, za nazivni tlak PN 10, z izolacijo debeline 100 mm. Komplet z štirimi nivojskimi temperaturnimi  tipali.</t>
  </si>
  <si>
    <t xml:space="preserve">SKUPNA REKAPITULACIJA </t>
  </si>
  <si>
    <t>SKUPNA REKAPITULACIJA GRADBENO OBRTNIŠKA DELA</t>
  </si>
  <si>
    <t>UPRAVIČENI IN NEUPRAVIČENI STROŠKI</t>
  </si>
  <si>
    <t>PRIPRAVLJALNA DELA SKUPAJ</t>
  </si>
  <si>
    <t>GRADBENO OBRTNIŠKA DELA - NEUPRAVIČENI STROŠKI</t>
  </si>
  <si>
    <t xml:space="preserve">REKAPITULACIJA NEUPRAVIČENIH STROŠKOV GRADBENO OBRTNIŠKIH DEL </t>
  </si>
  <si>
    <t>SKUPAJ NEUPRAVIČENI STROŠKI GRADBENO OBRTNIŠKIH DEL</t>
  </si>
  <si>
    <t>Na mestih, kjer to ne bo mogoče zaradi objektivnih vzrokov se gradnja prilagodi dejanskim razmeram.</t>
  </si>
  <si>
    <t>Investitor bo zagotovil delovne površine v okviru območja definiranega v dokumentaciji.</t>
  </si>
  <si>
    <t>Izvajalec je dolžan izvesti vsa dela kvalitetno, v skladu s predpisi, projektom, tehnič. pogoji za izgradnjo in v skladu z dobro gradbeno prakso.</t>
  </si>
  <si>
    <t>Za naslednja dela, v kolikor se event. pojavijo pri izvajanju del, se ne bodo priznali posebni stroški in jih je potrebno vkalkulirati v enotne cene:</t>
  </si>
  <si>
    <t>SKUPAJ STROJNE INSTALACIJE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</si>
</sst>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1]"/>
    <numFmt numFmtId="181" formatCode="#,##0.00\ &quot;€&quot;"/>
    <numFmt numFmtId="182" formatCode="0.000"/>
    <numFmt numFmtId="183" formatCode="#,##0.00\ _€"/>
    <numFmt numFmtId="184" formatCode="#,##0.0"/>
    <numFmt numFmtId="185" formatCode="0.00_)"/>
    <numFmt numFmtId="186" formatCode="#,##0.000"/>
    <numFmt numFmtId="187" formatCode="&quot;€&quot;#,##0.00"/>
  </numFmts>
  <fonts count="81">
    <font>
      <sz val="11"/>
      <color indexed="8"/>
      <name val="Calibri"/>
      <family val="2"/>
    </font>
    <font>
      <sz val="11"/>
      <color indexed="8"/>
      <name val="Arial"/>
      <family val="2"/>
    </font>
    <font>
      <sz val="10"/>
      <name val="Verdana"/>
      <family val="2"/>
    </font>
    <font>
      <b/>
      <sz val="10"/>
      <name val="Verdana"/>
      <family val="2"/>
    </font>
    <font>
      <sz val="11"/>
      <color indexed="8"/>
      <name val="Verdana"/>
      <family val="2"/>
    </font>
    <font>
      <b/>
      <sz val="11"/>
      <name val="Verdana"/>
      <family val="2"/>
    </font>
    <font>
      <sz val="10"/>
      <color indexed="8"/>
      <name val="Verdana"/>
      <family val="2"/>
    </font>
    <font>
      <sz val="10"/>
      <name val="Arial CE"/>
      <family val="2"/>
    </font>
    <font>
      <sz val="10"/>
      <name val="Arial Narrow"/>
      <family val="2"/>
    </font>
    <font>
      <sz val="11"/>
      <name val="Verdana"/>
      <family val="2"/>
    </font>
    <font>
      <b/>
      <sz val="12"/>
      <name val="Verdana"/>
      <family val="2"/>
    </font>
    <font>
      <sz val="10"/>
      <color indexed="10"/>
      <name val="Verdana"/>
      <family val="2"/>
    </font>
    <font>
      <b/>
      <sz val="10"/>
      <color indexed="8"/>
      <name val="Verdana"/>
      <family val="2"/>
    </font>
    <font>
      <b/>
      <sz val="10"/>
      <color indexed="10"/>
      <name val="Verdana"/>
      <family val="2"/>
    </font>
    <font>
      <sz val="9"/>
      <name val="Verdana"/>
      <family val="2"/>
    </font>
    <font>
      <b/>
      <sz val="9"/>
      <name val="Verdana"/>
      <family val="2"/>
    </font>
    <font>
      <sz val="12"/>
      <color indexed="8"/>
      <name val="SL Cour"/>
      <family val="0"/>
    </font>
    <font>
      <b/>
      <sz val="10"/>
      <color indexed="14"/>
      <name val="Verdana"/>
      <family val="2"/>
    </font>
    <font>
      <b/>
      <sz val="10"/>
      <color indexed="12"/>
      <name val="Verdana"/>
      <family val="2"/>
    </font>
    <font>
      <sz val="12"/>
      <color indexed="16"/>
      <name val="SL Cour"/>
      <family val="0"/>
    </font>
    <font>
      <sz val="10"/>
      <name val="Arial"/>
      <family val="0"/>
    </font>
    <font>
      <sz val="9"/>
      <color indexed="8"/>
      <name val="Verdana"/>
      <family val="2"/>
    </font>
    <font>
      <sz val="11"/>
      <color indexed="10"/>
      <name val="Verdana"/>
      <family val="2"/>
    </font>
    <font>
      <b/>
      <sz val="11"/>
      <color indexed="8"/>
      <name val="Verdana"/>
      <family val="2"/>
    </font>
    <font>
      <sz val="10"/>
      <color indexed="17"/>
      <name val="Verdana"/>
      <family val="2"/>
    </font>
    <font>
      <sz val="10"/>
      <color indexed="50"/>
      <name val="Verdana"/>
      <family val="2"/>
    </font>
    <font>
      <b/>
      <sz val="14"/>
      <name val="Arial"/>
      <family val="2"/>
    </font>
    <font>
      <b/>
      <sz val="9"/>
      <name val="Arial"/>
      <family val="2"/>
    </font>
    <font>
      <b/>
      <i/>
      <sz val="14"/>
      <name val="Arial"/>
      <family val="2"/>
    </font>
    <font>
      <sz val="9"/>
      <name val="Arial"/>
      <family val="2"/>
    </font>
    <font>
      <b/>
      <sz val="12"/>
      <name val="Arial"/>
      <family val="2"/>
    </font>
    <font>
      <b/>
      <i/>
      <sz val="9"/>
      <name val="Arial"/>
      <family val="2"/>
    </font>
    <font>
      <b/>
      <sz val="10"/>
      <name val="Arial"/>
      <family val="2"/>
    </font>
    <font>
      <b/>
      <sz val="9"/>
      <color indexed="10"/>
      <name val="Arial"/>
      <family val="2"/>
    </font>
    <font>
      <sz val="8"/>
      <name val="Calibri"/>
      <family val="2"/>
    </font>
    <font>
      <i/>
      <sz val="9"/>
      <name val="Arial"/>
      <family val="2"/>
    </font>
    <font>
      <i/>
      <sz val="10"/>
      <name val="Arial"/>
      <family val="2"/>
    </font>
    <font>
      <sz val="9"/>
      <color indexed="10"/>
      <name val="Arial"/>
      <family val="2"/>
    </font>
    <font>
      <b/>
      <i/>
      <sz val="9"/>
      <name val="Arial CE"/>
      <family val="2"/>
    </font>
    <font>
      <u val="single"/>
      <sz val="10"/>
      <color indexed="12"/>
      <name val="Arial CE"/>
      <family val="2"/>
    </font>
    <font>
      <b/>
      <sz val="9"/>
      <name val="Arial CE"/>
      <family val="2"/>
    </font>
    <font>
      <b/>
      <i/>
      <sz val="10"/>
      <name val="Arial"/>
      <family val="2"/>
    </font>
    <font>
      <sz val="9"/>
      <name val="Arial CE"/>
      <family val="0"/>
    </font>
    <font>
      <sz val="14"/>
      <color indexed="8"/>
      <name val="Segoe ui"/>
      <family val="0"/>
    </font>
    <font>
      <sz val="12"/>
      <color indexed="8"/>
      <name val="Segoe ui"/>
      <family val="0"/>
    </font>
    <font>
      <b/>
      <sz val="14"/>
      <name val="Verdana"/>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36"/>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Verdan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7"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thin"/>
    </border>
    <border>
      <left style="thin"/>
      <right style="thin"/>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48"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1" fillId="0" borderId="0">
      <alignment/>
      <protection/>
    </xf>
    <xf numFmtId="0" fontId="7" fillId="0" borderId="0">
      <alignment/>
      <protection/>
    </xf>
    <xf numFmtId="0" fontId="16" fillId="0" borderId="0" applyFill="0" applyBorder="0" applyProtection="0">
      <alignment/>
    </xf>
    <xf numFmtId="0" fontId="75" fillId="30" borderId="0" applyNumberFormat="0" applyBorder="0" applyAlignment="0" applyProtection="0"/>
    <xf numFmtId="0" fontId="0" fillId="31" borderId="7" applyNumberFormat="0" applyFont="0" applyAlignment="0" applyProtection="0"/>
    <xf numFmtId="0" fontId="76" fillId="26"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167" fontId="19" fillId="0" borderId="0" applyFill="0" applyBorder="0" applyAlignment="0" applyProtection="0"/>
    <xf numFmtId="171" fontId="1" fillId="0" borderId="0" applyFont="0" applyFill="0" applyBorder="0" applyAlignment="0" applyProtection="0"/>
    <xf numFmtId="4" fontId="16" fillId="0" borderId="0" applyFont="0" applyFill="0" applyBorder="0" applyAlignment="0" applyProtection="0"/>
    <xf numFmtId="0" fontId="79" fillId="0" borderId="0" applyNumberFormat="0" applyFill="0" applyBorder="0" applyAlignment="0" applyProtection="0"/>
  </cellStyleXfs>
  <cellXfs count="685">
    <xf numFmtId="0" fontId="0" fillId="0" borderId="0" xfId="0" applyAlignment="1">
      <alignment/>
    </xf>
    <xf numFmtId="0" fontId="22" fillId="0" borderId="0" xfId="0" applyFont="1" applyAlignment="1">
      <alignment/>
    </xf>
    <xf numFmtId="0" fontId="9" fillId="0" borderId="0" xfId="0" applyFont="1" applyAlignment="1">
      <alignment horizontal="right"/>
    </xf>
    <xf numFmtId="0" fontId="9" fillId="0" borderId="0" xfId="0" applyFont="1" applyAlignment="1">
      <alignment/>
    </xf>
    <xf numFmtId="181" fontId="9" fillId="0" borderId="0" xfId="0" applyNumberFormat="1" applyFont="1" applyAlignment="1">
      <alignment/>
    </xf>
    <xf numFmtId="4" fontId="9" fillId="0" borderId="0" xfId="0" applyNumberFormat="1" applyFont="1" applyAlignment="1">
      <alignment/>
    </xf>
    <xf numFmtId="4" fontId="9" fillId="0" borderId="0" xfId="42" applyNumberFormat="1" applyFont="1" applyBorder="1" applyAlignment="1">
      <alignment horizontal="right"/>
    </xf>
    <xf numFmtId="0" fontId="9" fillId="0" borderId="0" xfId="0" applyFont="1" applyBorder="1" applyAlignment="1">
      <alignment/>
    </xf>
    <xf numFmtId="4" fontId="5" fillId="0" borderId="0" xfId="42" applyNumberFormat="1" applyFont="1" applyBorder="1" applyAlignment="1">
      <alignment horizontal="right"/>
    </xf>
    <xf numFmtId="0" fontId="5" fillId="0" borderId="0"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4" fontId="2" fillId="0" borderId="0" xfId="0" applyNumberFormat="1" applyFont="1" applyBorder="1" applyAlignment="1" applyProtection="1">
      <alignment/>
      <protection/>
    </xf>
    <xf numFmtId="181" fontId="2" fillId="0" borderId="0" xfId="42" applyNumberFormat="1" applyFont="1" applyBorder="1" applyAlignment="1" applyProtection="1">
      <alignment horizontal="right"/>
      <protection/>
    </xf>
    <xf numFmtId="4" fontId="2" fillId="0" borderId="0" xfId="42" applyNumberFormat="1" applyFont="1" applyBorder="1" applyAlignment="1" applyProtection="1">
      <alignment horizontal="right"/>
      <protection/>
    </xf>
    <xf numFmtId="0" fontId="4" fillId="0" borderId="0" xfId="55" applyFont="1" applyProtection="1">
      <alignment/>
      <protection/>
    </xf>
    <xf numFmtId="0" fontId="4" fillId="0" borderId="0" xfId="0" applyFont="1" applyAlignment="1" applyProtection="1">
      <alignment/>
      <protection/>
    </xf>
    <xf numFmtId="0" fontId="2" fillId="0" borderId="10" xfId="55" applyFont="1" applyBorder="1" applyAlignment="1" applyProtection="1">
      <alignment horizontal="center"/>
      <protection/>
    </xf>
    <xf numFmtId="0" fontId="4" fillId="0" borderId="0" xfId="55" applyFont="1" applyAlignment="1" applyProtection="1">
      <alignment vertical="center"/>
      <protection/>
    </xf>
    <xf numFmtId="0" fontId="2" fillId="0" borderId="0" xfId="0" applyFont="1" applyBorder="1" applyAlignment="1" applyProtection="1">
      <alignment horizontal="right" vertical="top"/>
      <protection/>
    </xf>
    <xf numFmtId="0" fontId="3" fillId="0" borderId="0" xfId="0" applyFont="1" applyBorder="1" applyAlignment="1" applyProtection="1">
      <alignment/>
      <protection/>
    </xf>
    <xf numFmtId="181" fontId="2" fillId="0" borderId="0" xfId="42" applyNumberFormat="1" applyFont="1" applyAlignment="1" applyProtection="1">
      <alignment horizontal="right" wrapText="1"/>
      <protection/>
    </xf>
    <xf numFmtId="0" fontId="3" fillId="0" borderId="11" xfId="0" applyFont="1" applyBorder="1" applyAlignment="1" applyProtection="1">
      <alignment/>
      <protection/>
    </xf>
    <xf numFmtId="0" fontId="3" fillId="0" borderId="11" xfId="0" applyFont="1" applyBorder="1" applyAlignment="1" applyProtection="1">
      <alignment horizontal="right"/>
      <protection/>
    </xf>
    <xf numFmtId="181" fontId="3" fillId="0" borderId="11" xfId="42" applyNumberFormat="1" applyFont="1" applyBorder="1" applyAlignment="1" applyProtection="1">
      <alignment horizontal="right"/>
      <protection/>
    </xf>
    <xf numFmtId="0" fontId="6" fillId="0" borderId="0" xfId="0" applyFont="1" applyAlignment="1" applyProtection="1">
      <alignment/>
      <protection/>
    </xf>
    <xf numFmtId="4" fontId="11" fillId="0" borderId="0" xfId="0" applyNumberFormat="1" applyFont="1" applyBorder="1" applyAlignment="1" applyProtection="1">
      <alignment/>
      <protection/>
    </xf>
    <xf numFmtId="4" fontId="11" fillId="0" borderId="0" xfId="0" applyNumberFormat="1" applyFont="1" applyBorder="1" applyAlignment="1" applyProtection="1">
      <alignment horizontal="right"/>
      <protection/>
    </xf>
    <xf numFmtId="4" fontId="11" fillId="0" borderId="0" xfId="42" applyNumberFormat="1" applyFont="1" applyBorder="1" applyAlignment="1" applyProtection="1">
      <alignment horizontal="right"/>
      <protection/>
    </xf>
    <xf numFmtId="181" fontId="13" fillId="0" borderId="0" xfId="42" applyNumberFormat="1" applyFont="1" applyBorder="1" applyAlignment="1" applyProtection="1">
      <alignment horizontal="right"/>
      <protection/>
    </xf>
    <xf numFmtId="181" fontId="11" fillId="0" borderId="0" xfId="42" applyNumberFormat="1" applyFont="1" applyAlignment="1" applyProtection="1">
      <alignment/>
      <protection/>
    </xf>
    <xf numFmtId="4" fontId="2" fillId="0" borderId="0" xfId="0" applyNumberFormat="1" applyFont="1" applyBorder="1" applyAlignment="1" applyProtection="1">
      <alignment horizontal="right"/>
      <protection/>
    </xf>
    <xf numFmtId="0" fontId="4" fillId="0" borderId="0" xfId="0" applyNumberFormat="1" applyFont="1" applyAlignment="1" applyProtection="1">
      <alignment/>
      <protection/>
    </xf>
    <xf numFmtId="0" fontId="4" fillId="0" borderId="0" xfId="0" applyFont="1" applyAlignment="1" applyProtection="1">
      <alignment horizontal="center" vertical="top"/>
      <protection/>
    </xf>
    <xf numFmtId="0" fontId="6" fillId="0" borderId="0" xfId="0" applyFont="1" applyAlignment="1" applyProtection="1">
      <alignment horizontal="center"/>
      <protection/>
    </xf>
    <xf numFmtId="181" fontId="6" fillId="0" borderId="0" xfId="0" applyNumberFormat="1" applyFont="1" applyAlignment="1" applyProtection="1">
      <alignment/>
      <protection/>
    </xf>
    <xf numFmtId="0" fontId="12" fillId="0" borderId="0" xfId="0" applyFont="1" applyAlignment="1" applyProtection="1">
      <alignment/>
      <protection/>
    </xf>
    <xf numFmtId="0" fontId="4" fillId="0" borderId="0" xfId="0" applyFont="1" applyAlignment="1" applyProtection="1">
      <alignment horizontal="center"/>
      <protection/>
    </xf>
    <xf numFmtId="4" fontId="4" fillId="0" borderId="0" xfId="0" applyNumberFormat="1" applyFont="1" applyAlignment="1" applyProtection="1">
      <alignment horizontal="right"/>
      <protection/>
    </xf>
    <xf numFmtId="4" fontId="4" fillId="0" borderId="0" xfId="0" applyNumberFormat="1" applyFont="1" applyAlignment="1" applyProtection="1">
      <alignment horizontal="center"/>
      <protection/>
    </xf>
    <xf numFmtId="0" fontId="6" fillId="0" borderId="0" xfId="55" applyFont="1" applyAlignment="1" applyProtection="1">
      <alignment horizontal="center"/>
      <protection/>
    </xf>
    <xf numFmtId="4" fontId="6" fillId="0" borderId="0" xfId="55" applyNumberFormat="1" applyFont="1" applyAlignment="1" applyProtection="1">
      <alignment horizontal="center"/>
      <protection/>
    </xf>
    <xf numFmtId="180" fontId="2" fillId="0" borderId="0" xfId="55" applyNumberFormat="1" applyFont="1" applyBorder="1" applyAlignment="1" applyProtection="1">
      <alignment horizontal="right"/>
      <protection/>
    </xf>
    <xf numFmtId="0" fontId="6" fillId="0" borderId="0" xfId="55" applyFont="1" applyProtection="1">
      <alignment/>
      <protection/>
    </xf>
    <xf numFmtId="0" fontId="2" fillId="0" borderId="0" xfId="55" applyFont="1" applyAlignment="1" applyProtection="1">
      <alignment horizontal="justify" vertical="top" wrapText="1"/>
      <protection/>
    </xf>
    <xf numFmtId="4" fontId="6" fillId="0" borderId="0" xfId="55" applyNumberFormat="1" applyFont="1" applyAlignment="1" applyProtection="1">
      <alignment horizontal="right"/>
      <protection/>
    </xf>
    <xf numFmtId="0" fontId="22" fillId="0" borderId="0" xfId="0" applyFont="1" applyAlignment="1" applyProtection="1">
      <alignment/>
      <protection/>
    </xf>
    <xf numFmtId="181" fontId="2" fillId="0" borderId="0" xfId="55" applyNumberFormat="1" applyFont="1" applyBorder="1" applyAlignment="1" applyProtection="1">
      <alignment horizontal="right"/>
      <protection/>
    </xf>
    <xf numFmtId="4" fontId="4" fillId="0" borderId="0" xfId="0" applyNumberFormat="1" applyFont="1" applyAlignment="1" applyProtection="1">
      <alignment/>
      <protection/>
    </xf>
    <xf numFmtId="181" fontId="3" fillId="0" borderId="10" xfId="65" applyNumberFormat="1" applyFont="1" applyFill="1" applyBorder="1" applyAlignment="1" applyProtection="1">
      <alignment horizontal="center" vertical="center"/>
      <protection/>
    </xf>
    <xf numFmtId="0" fontId="6" fillId="0" borderId="0" xfId="55" applyFont="1" applyAlignment="1" applyProtection="1">
      <alignment vertical="top"/>
      <protection/>
    </xf>
    <xf numFmtId="0" fontId="6" fillId="0" borderId="0" xfId="55" applyFont="1" applyBorder="1" applyAlignment="1" applyProtection="1">
      <alignment horizontal="center"/>
      <protection/>
    </xf>
    <xf numFmtId="4" fontId="6" fillId="0" borderId="0" xfId="55" applyNumberFormat="1" applyFont="1" applyBorder="1" applyAlignment="1" applyProtection="1">
      <alignment/>
      <protection/>
    </xf>
    <xf numFmtId="181" fontId="6" fillId="0" borderId="0" xfId="55" applyNumberFormat="1" applyFont="1" applyBorder="1" applyAlignment="1" applyProtection="1">
      <alignment/>
      <protection/>
    </xf>
    <xf numFmtId="181" fontId="6" fillId="0" borderId="0" xfId="55" applyNumberFormat="1" applyFont="1" applyBorder="1" applyAlignment="1" applyProtection="1">
      <alignment horizontal="right"/>
      <protection/>
    </xf>
    <xf numFmtId="0" fontId="6" fillId="0" borderId="0" xfId="55" applyFont="1" applyBorder="1" applyProtection="1">
      <alignment/>
      <protection/>
    </xf>
    <xf numFmtId="4" fontId="6" fillId="0" borderId="0" xfId="0" applyNumberFormat="1" applyFont="1" applyAlignment="1" applyProtection="1">
      <alignment/>
      <protection/>
    </xf>
    <xf numFmtId="181" fontId="6" fillId="0" borderId="0" xfId="55" applyNumberFormat="1" applyFont="1" applyAlignment="1" applyProtection="1">
      <alignment horizontal="right"/>
      <protection/>
    </xf>
    <xf numFmtId="0" fontId="6" fillId="0" borderId="0" xfId="0" applyFont="1" applyAlignment="1" applyProtection="1">
      <alignment vertical="top"/>
      <protection/>
    </xf>
    <xf numFmtId="181" fontId="6" fillId="0" borderId="0" xfId="0" applyNumberFormat="1" applyFont="1" applyAlignment="1" applyProtection="1">
      <alignment/>
      <protection/>
    </xf>
    <xf numFmtId="181" fontId="6" fillId="0" borderId="0" xfId="55" applyNumberFormat="1" applyFont="1" applyProtection="1">
      <alignment/>
      <protection/>
    </xf>
    <xf numFmtId="0" fontId="22" fillId="0" borderId="0" xfId="55" applyFont="1" applyAlignment="1" applyProtection="1">
      <alignment vertical="center"/>
      <protection/>
    </xf>
    <xf numFmtId="4" fontId="8" fillId="0" borderId="0" xfId="0" applyNumberFormat="1" applyFont="1" applyFill="1" applyBorder="1" applyAlignment="1" applyProtection="1">
      <alignment horizontal="center" wrapTex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left"/>
      <protection/>
    </xf>
    <xf numFmtId="4" fontId="2" fillId="0" borderId="0" xfId="0" applyNumberFormat="1" applyFont="1" applyBorder="1" applyAlignment="1" applyProtection="1">
      <alignment horizontal="left"/>
      <protection/>
    </xf>
    <xf numFmtId="4" fontId="2" fillId="0" borderId="0" xfId="42" applyNumberFormat="1" applyFont="1" applyBorder="1" applyAlignment="1" applyProtection="1">
      <alignment horizontal="left"/>
      <protection/>
    </xf>
    <xf numFmtId="181" fontId="2" fillId="0" borderId="0" xfId="42" applyNumberFormat="1" applyFont="1" applyBorder="1" applyAlignment="1" applyProtection="1">
      <alignment horizontal="left"/>
      <protection/>
    </xf>
    <xf numFmtId="0" fontId="21" fillId="0" borderId="0" xfId="0" applyFont="1" applyBorder="1" applyAlignment="1" applyProtection="1">
      <alignment/>
      <protection/>
    </xf>
    <xf numFmtId="0" fontId="3" fillId="0" borderId="12" xfId="0" applyFont="1" applyBorder="1" applyAlignment="1" applyProtection="1">
      <alignment horizontal="left"/>
      <protection/>
    </xf>
    <xf numFmtId="0" fontId="3" fillId="0" borderId="12" xfId="0" applyFont="1" applyBorder="1" applyAlignment="1" applyProtection="1">
      <alignment horizontal="right"/>
      <protection/>
    </xf>
    <xf numFmtId="4" fontId="3" fillId="0" borderId="12" xfId="0" applyNumberFormat="1" applyFont="1" applyBorder="1" applyAlignment="1" applyProtection="1">
      <alignment horizontal="left"/>
      <protection/>
    </xf>
    <xf numFmtId="181" fontId="3" fillId="0" borderId="12" xfId="42" applyNumberFormat="1" applyFont="1" applyBorder="1" applyAlignment="1" applyProtection="1">
      <alignment horizontal="left"/>
      <protection/>
    </xf>
    <xf numFmtId="0" fontId="3" fillId="0" borderId="11" xfId="0" applyFont="1" applyBorder="1" applyAlignment="1" applyProtection="1">
      <alignment horizontal="left"/>
      <protection/>
    </xf>
    <xf numFmtId="4" fontId="3" fillId="0" borderId="11" xfId="0" applyNumberFormat="1" applyFont="1" applyBorder="1" applyAlignment="1" applyProtection="1">
      <alignment horizontal="left"/>
      <protection/>
    </xf>
    <xf numFmtId="4" fontId="3" fillId="0" borderId="11" xfId="42" applyNumberFormat="1" applyFont="1" applyBorder="1" applyAlignment="1" applyProtection="1">
      <alignment horizontal="left"/>
      <protection/>
    </xf>
    <xf numFmtId="181" fontId="9" fillId="0" borderId="13" xfId="0" applyNumberFormat="1" applyFont="1" applyBorder="1" applyAlignment="1">
      <alignment/>
    </xf>
    <xf numFmtId="181" fontId="9" fillId="0" borderId="14" xfId="0" applyNumberFormat="1" applyFont="1" applyBorder="1" applyAlignment="1">
      <alignment/>
    </xf>
    <xf numFmtId="181" fontId="5" fillId="0" borderId="15" xfId="0" applyNumberFormat="1" applyFont="1" applyBorder="1" applyAlignment="1">
      <alignment/>
    </xf>
    <xf numFmtId="181" fontId="9" fillId="0" borderId="14" xfId="0" applyNumberFormat="1" applyFont="1" applyBorder="1" applyAlignment="1">
      <alignment horizontal="left"/>
    </xf>
    <xf numFmtId="181" fontId="9" fillId="0" borderId="16" xfId="0" applyNumberFormat="1" applyFont="1" applyBorder="1" applyAlignment="1">
      <alignment/>
    </xf>
    <xf numFmtId="181" fontId="9" fillId="0" borderId="17" xfId="0" applyNumberFormat="1" applyFont="1" applyBorder="1" applyAlignment="1">
      <alignment/>
    </xf>
    <xf numFmtId="181" fontId="9" fillId="0" borderId="17" xfId="0" applyNumberFormat="1" applyFont="1" applyBorder="1" applyAlignment="1">
      <alignment horizontal="left"/>
    </xf>
    <xf numFmtId="0" fontId="2" fillId="0" borderId="10" xfId="0" applyFont="1" applyBorder="1" applyAlignment="1" applyProtection="1">
      <alignment horizontal="right" vertical="top"/>
      <protection/>
    </xf>
    <xf numFmtId="0" fontId="2" fillId="0" borderId="10" xfId="0" applyFont="1" applyFill="1" applyBorder="1" applyAlignment="1" applyProtection="1">
      <alignment horizontal="left" vertical="top" wrapText="1"/>
      <protection/>
    </xf>
    <xf numFmtId="0" fontId="2" fillId="0" borderId="10" xfId="0" applyFont="1" applyBorder="1" applyAlignment="1" applyProtection="1">
      <alignment horizontal="right"/>
      <protection/>
    </xf>
    <xf numFmtId="4" fontId="2" fillId="0" borderId="10" xfId="0" applyNumberFormat="1" applyFont="1" applyFill="1" applyBorder="1" applyAlignment="1" applyProtection="1">
      <alignment horizontal="right" wrapText="1"/>
      <protection/>
    </xf>
    <xf numFmtId="181" fontId="2" fillId="0" borderId="10" xfId="0" applyNumberFormat="1" applyFont="1" applyFill="1" applyBorder="1" applyAlignment="1" applyProtection="1">
      <alignment horizontal="right" wrapText="1"/>
      <protection/>
    </xf>
    <xf numFmtId="181" fontId="2" fillId="0" borderId="10" xfId="0" applyNumberFormat="1" applyFont="1" applyBorder="1" applyAlignment="1" applyProtection="1">
      <alignment horizontal="righ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2" fillId="0" borderId="10" xfId="55" applyFont="1" applyFill="1" applyBorder="1" applyAlignment="1" applyProtection="1">
      <alignment horizontal="center" vertical="top"/>
      <protection/>
    </xf>
    <xf numFmtId="0" fontId="2" fillId="0" borderId="10" xfId="55" applyFont="1" applyBorder="1" applyAlignment="1" applyProtection="1">
      <alignment horizontal="justify" vertical="top" wrapText="1"/>
      <protection/>
    </xf>
    <xf numFmtId="0" fontId="4" fillId="0" borderId="10" xfId="0" applyFont="1" applyBorder="1" applyAlignment="1" applyProtection="1">
      <alignment/>
      <protection/>
    </xf>
    <xf numFmtId="4" fontId="4" fillId="0" borderId="10" xfId="0" applyNumberFormat="1" applyFont="1" applyBorder="1" applyAlignment="1" applyProtection="1">
      <alignment horizontal="right"/>
      <protection/>
    </xf>
    <xf numFmtId="180" fontId="2" fillId="0" borderId="10" xfId="55" applyNumberFormat="1" applyFont="1" applyBorder="1" applyAlignment="1" applyProtection="1">
      <alignment horizontal="right"/>
      <protection/>
    </xf>
    <xf numFmtId="0" fontId="2" fillId="0" borderId="10" xfId="55" applyFont="1" applyFill="1" applyBorder="1" applyAlignment="1" applyProtection="1">
      <alignment horizontal="center"/>
      <protection/>
    </xf>
    <xf numFmtId="0" fontId="2" fillId="0" borderId="10" xfId="55" applyFont="1" applyBorder="1" applyAlignment="1" applyProtection="1">
      <alignment horizontal="justify" wrapText="1"/>
      <protection/>
    </xf>
    <xf numFmtId="0" fontId="6" fillId="0" borderId="10" xfId="55" applyFont="1" applyBorder="1" applyAlignment="1" applyProtection="1">
      <alignment horizontal="center"/>
      <protection/>
    </xf>
    <xf numFmtId="4" fontId="6" fillId="0" borderId="10" xfId="55" applyNumberFormat="1" applyFont="1" applyBorder="1" applyAlignment="1" applyProtection="1">
      <alignment horizontal="right"/>
      <protection/>
    </xf>
    <xf numFmtId="0" fontId="2" fillId="0" borderId="10" xfId="0" applyFont="1" applyFill="1" applyBorder="1" applyAlignment="1" applyProtection="1">
      <alignment horizontal="justify" wrapText="1"/>
      <protection/>
    </xf>
    <xf numFmtId="4" fontId="2" fillId="0" borderId="10" xfId="0" applyNumberFormat="1" applyFont="1" applyBorder="1" applyAlignment="1" applyProtection="1">
      <alignment horizontal="right"/>
      <protection/>
    </xf>
    <xf numFmtId="4" fontId="6" fillId="0" borderId="10" xfId="0" applyNumberFormat="1" applyFont="1" applyBorder="1" applyAlignment="1" applyProtection="1">
      <alignment horizontal="right"/>
      <protection/>
    </xf>
    <xf numFmtId="0" fontId="6" fillId="0" borderId="10" xfId="0" applyFont="1" applyBorder="1" applyAlignment="1" applyProtection="1">
      <alignment/>
      <protection/>
    </xf>
    <xf numFmtId="0" fontId="2" fillId="0" borderId="10" xfId="55" applyFont="1" applyBorder="1" applyAlignment="1" applyProtection="1">
      <alignment horizontal="center" vertical="top"/>
      <protection/>
    </xf>
    <xf numFmtId="4" fontId="6" fillId="0" borderId="10" xfId="55" applyNumberFormat="1" applyFont="1" applyBorder="1" applyAlignment="1" applyProtection="1">
      <alignment horizontal="center"/>
      <protection/>
    </xf>
    <xf numFmtId="0" fontId="4" fillId="0" borderId="10" xfId="55" applyFont="1" applyBorder="1" applyProtection="1">
      <alignment/>
      <protection/>
    </xf>
    <xf numFmtId="0" fontId="6" fillId="0" borderId="10" xfId="55" applyFont="1" applyBorder="1" applyProtection="1">
      <alignment/>
      <protection/>
    </xf>
    <xf numFmtId="4" fontId="6" fillId="0" borderId="10" xfId="55" applyNumberFormat="1" applyFont="1" applyBorder="1" applyProtection="1">
      <alignment/>
      <protection/>
    </xf>
    <xf numFmtId="0" fontId="2" fillId="0" borderId="10" xfId="0" applyFont="1" applyBorder="1" applyAlignment="1" applyProtection="1">
      <alignment horizontal="justify" vertical="top" wrapText="1"/>
      <protection/>
    </xf>
    <xf numFmtId="0" fontId="6" fillId="0" borderId="10" xfId="0" applyFont="1" applyBorder="1" applyAlignment="1" applyProtection="1">
      <alignment horizontal="right"/>
      <protection/>
    </xf>
    <xf numFmtId="4" fontId="6" fillId="0" borderId="10" xfId="0" applyNumberFormat="1" applyFont="1" applyBorder="1" applyAlignment="1" applyProtection="1">
      <alignment horizontal="right"/>
      <protection/>
    </xf>
    <xf numFmtId="181" fontId="2" fillId="0" borderId="10" xfId="0" applyNumberFormat="1" applyFont="1" applyFill="1" applyBorder="1" applyAlignment="1" applyProtection="1">
      <alignment horizontal="right"/>
      <protection/>
    </xf>
    <xf numFmtId="0" fontId="9" fillId="0" borderId="10" xfId="0" applyFont="1" applyBorder="1" applyAlignment="1">
      <alignment/>
    </xf>
    <xf numFmtId="181" fontId="9" fillId="0" borderId="10" xfId="0" applyNumberFormat="1" applyFont="1" applyBorder="1" applyAlignment="1">
      <alignment/>
    </xf>
    <xf numFmtId="0" fontId="9" fillId="0" borderId="10" xfId="0" applyFont="1" applyBorder="1" applyAlignment="1">
      <alignment horizontal="right"/>
    </xf>
    <xf numFmtId="0" fontId="9" fillId="0" borderId="18" xfId="0" applyFont="1" applyBorder="1" applyAlignment="1">
      <alignment/>
    </xf>
    <xf numFmtId="0" fontId="9" fillId="0" borderId="19" xfId="0" applyFont="1" applyBorder="1" applyAlignment="1">
      <alignment/>
    </xf>
    <xf numFmtId="0" fontId="5" fillId="0" borderId="20" xfId="0" applyFont="1" applyBorder="1" applyAlignment="1">
      <alignment/>
    </xf>
    <xf numFmtId="0" fontId="9" fillId="0" borderId="19" xfId="0" applyFont="1" applyBorder="1" applyAlignment="1">
      <alignment horizontal="right"/>
    </xf>
    <xf numFmtId="0" fontId="9" fillId="0" borderId="21" xfId="0" applyFont="1" applyBorder="1" applyAlignment="1">
      <alignment/>
    </xf>
    <xf numFmtId="0" fontId="9" fillId="0" borderId="19" xfId="0" applyFont="1" applyBorder="1" applyAlignment="1">
      <alignment horizontal="left"/>
    </xf>
    <xf numFmtId="9" fontId="9" fillId="0" borderId="10" xfId="0" applyNumberFormat="1" applyFont="1" applyBorder="1" applyAlignment="1">
      <alignment/>
    </xf>
    <xf numFmtId="181" fontId="9" fillId="0" borderId="10" xfId="0" applyNumberFormat="1" applyFont="1" applyBorder="1" applyAlignment="1">
      <alignment horizontal="center"/>
    </xf>
    <xf numFmtId="0" fontId="2" fillId="0" borderId="10" xfId="55" applyFont="1" applyFill="1" applyBorder="1" applyAlignment="1" applyProtection="1">
      <alignment horizontal="right" vertical="top"/>
      <protection/>
    </xf>
    <xf numFmtId="0" fontId="2" fillId="0" borderId="10" xfId="55" applyFont="1" applyFill="1" applyBorder="1" applyAlignment="1" applyProtection="1">
      <alignment horizontal="justify" vertical="top" wrapText="1"/>
      <protection/>
    </xf>
    <xf numFmtId="0" fontId="6" fillId="0" borderId="10" xfId="55" applyFont="1" applyFill="1" applyBorder="1" applyAlignment="1" applyProtection="1">
      <alignment horizontal="center"/>
      <protection/>
    </xf>
    <xf numFmtId="4" fontId="6" fillId="0" borderId="10" xfId="55" applyNumberFormat="1" applyFont="1" applyFill="1" applyBorder="1" applyAlignment="1" applyProtection="1">
      <alignment/>
      <protection/>
    </xf>
    <xf numFmtId="181" fontId="2" fillId="0" borderId="10" xfId="55" applyNumberFormat="1" applyFont="1" applyFill="1" applyBorder="1" applyAlignment="1" applyProtection="1">
      <alignment horizontal="right"/>
      <protection/>
    </xf>
    <xf numFmtId="0" fontId="6" fillId="0" borderId="10" xfId="55" applyFont="1" applyFill="1" applyBorder="1" applyAlignment="1" applyProtection="1">
      <alignment horizontal="right" vertical="top"/>
      <protection/>
    </xf>
    <xf numFmtId="0" fontId="6"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10" xfId="55" applyFont="1" applyFill="1" applyBorder="1" applyProtection="1">
      <alignment/>
      <protection/>
    </xf>
    <xf numFmtId="180" fontId="2" fillId="0" borderId="10" xfId="55" applyNumberFormat="1" applyFont="1" applyFill="1" applyBorder="1" applyAlignment="1" applyProtection="1">
      <alignment horizontal="right"/>
      <protection/>
    </xf>
    <xf numFmtId="4" fontId="6" fillId="0" borderId="10" xfId="0" applyNumberFormat="1" applyFont="1" applyFill="1" applyBorder="1" applyAlignment="1" applyProtection="1">
      <alignment/>
      <protection/>
    </xf>
    <xf numFmtId="0" fontId="6" fillId="0" borderId="10" xfId="0" applyFont="1" applyFill="1" applyBorder="1" applyAlignment="1" applyProtection="1">
      <alignment/>
      <protection/>
    </xf>
    <xf numFmtId="0" fontId="2" fillId="0" borderId="10" xfId="55" applyFont="1" applyFill="1" applyBorder="1" applyAlignment="1" applyProtection="1">
      <alignment horizontal="justify" wrapText="1"/>
      <protection/>
    </xf>
    <xf numFmtId="0" fontId="2" fillId="0" borderId="10" xfId="0" applyFont="1" applyFill="1" applyBorder="1" applyAlignment="1" applyProtection="1">
      <alignment vertical="top" wrapText="1"/>
      <protection/>
    </xf>
    <xf numFmtId="0" fontId="2" fillId="0" borderId="10" xfId="56" applyFont="1" applyFill="1" applyBorder="1" applyAlignment="1" applyProtection="1">
      <alignment horizontal="center"/>
      <protection/>
    </xf>
    <xf numFmtId="4" fontId="2" fillId="0" borderId="10" xfId="56" applyNumberFormat="1" applyFont="1" applyFill="1" applyBorder="1" applyAlignment="1" applyProtection="1">
      <alignment/>
      <protection/>
    </xf>
    <xf numFmtId="181" fontId="2" fillId="0" borderId="10" xfId="42" applyNumberFormat="1" applyFont="1" applyFill="1" applyBorder="1" applyAlignment="1" applyProtection="1">
      <alignment horizontal="right" wrapText="1"/>
      <protection/>
    </xf>
    <xf numFmtId="0" fontId="6" fillId="0" borderId="10" xfId="55" applyFont="1" applyFill="1" applyBorder="1" applyAlignment="1" applyProtection="1">
      <alignment vertical="top"/>
      <protection/>
    </xf>
    <xf numFmtId="0" fontId="6" fillId="0" borderId="10" xfId="0" applyFont="1" applyFill="1" applyBorder="1" applyAlignment="1" applyProtection="1">
      <alignment vertical="top"/>
      <protection/>
    </xf>
    <xf numFmtId="181" fontId="6" fillId="0" borderId="10" xfId="0" applyNumberFormat="1" applyFont="1" applyFill="1" applyBorder="1" applyAlignment="1" applyProtection="1">
      <alignment/>
      <protection/>
    </xf>
    <xf numFmtId="181" fontId="6" fillId="0" borderId="10" xfId="55" applyNumberFormat="1" applyFont="1" applyFill="1" applyBorder="1" applyProtection="1">
      <alignment/>
      <protection/>
    </xf>
    <xf numFmtId="4" fontId="6" fillId="0" borderId="10" xfId="0" applyNumberFormat="1"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2" fillId="0" borderId="10" xfId="0" applyFont="1" applyFill="1" applyBorder="1" applyAlignment="1" applyProtection="1">
      <alignment horizontal="center"/>
      <protection/>
    </xf>
    <xf numFmtId="4" fontId="2" fillId="0" borderId="10" xfId="0" applyNumberFormat="1" applyFont="1" applyFill="1" applyBorder="1" applyAlignment="1" applyProtection="1">
      <alignment/>
      <protection/>
    </xf>
    <xf numFmtId="181" fontId="2" fillId="0" borderId="10" xfId="0" applyNumberFormat="1" applyFont="1" applyFill="1" applyBorder="1" applyAlignment="1" applyProtection="1">
      <alignment/>
      <protection/>
    </xf>
    <xf numFmtId="181" fontId="2"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horizontal="right" wrapText="1"/>
      <protection/>
    </xf>
    <xf numFmtId="4" fontId="6" fillId="0" borderId="10" xfId="0" applyNumberFormat="1" applyFont="1" applyFill="1" applyBorder="1" applyAlignment="1" applyProtection="1">
      <alignment horizontal="right" wrapText="1"/>
      <protection/>
    </xf>
    <xf numFmtId="181" fontId="14" fillId="0" borderId="10" xfId="0" applyNumberFormat="1" applyFont="1" applyFill="1" applyBorder="1" applyAlignment="1" applyProtection="1">
      <alignment horizontal="right" wrapText="1"/>
      <protection/>
    </xf>
    <xf numFmtId="0" fontId="6" fillId="0" borderId="10" xfId="0" applyFont="1" applyFill="1" applyBorder="1" applyAlignment="1" applyProtection="1">
      <alignment horizontal="right" vertical="top" wrapText="1"/>
      <protection/>
    </xf>
    <xf numFmtId="183" fontId="2" fillId="0" borderId="10" xfId="0" applyNumberFormat="1" applyFont="1" applyFill="1" applyBorder="1" applyAlignment="1" applyProtection="1">
      <alignment horizontal="right" wrapText="1"/>
      <protection/>
    </xf>
    <xf numFmtId="181" fontId="2" fillId="0" borderId="10" xfId="0" applyNumberFormat="1" applyFont="1" applyFill="1" applyBorder="1" applyAlignment="1" applyProtection="1">
      <alignment wrapText="1"/>
      <protection/>
    </xf>
    <xf numFmtId="0" fontId="2" fillId="0" borderId="10" xfId="0" applyFont="1" applyBorder="1" applyAlignment="1" applyProtection="1">
      <alignment horizontal="left" vertical="top" wrapText="1"/>
      <protection/>
    </xf>
    <xf numFmtId="0" fontId="2" fillId="0" borderId="10" xfId="0"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0" fontId="2" fillId="0" borderId="10" xfId="0" applyFont="1" applyBorder="1" applyAlignment="1" applyProtection="1">
      <alignment vertical="top" wrapText="1"/>
      <protection/>
    </xf>
    <xf numFmtId="181" fontId="2" fillId="0" borderId="10" xfId="0" applyNumberFormat="1" applyFont="1" applyBorder="1" applyAlignment="1" applyProtection="1">
      <alignment/>
      <protection/>
    </xf>
    <xf numFmtId="0" fontId="2" fillId="0" borderId="10" xfId="0" applyFont="1" applyFill="1" applyBorder="1" applyAlignment="1" applyProtection="1">
      <alignment horizontal="justify" vertical="top" wrapText="1"/>
      <protection/>
    </xf>
    <xf numFmtId="0" fontId="2" fillId="0" borderId="10" xfId="0" applyFont="1" applyBorder="1" applyAlignment="1" applyProtection="1">
      <alignment horizontal="right" vertical="top" wrapText="1"/>
      <protection/>
    </xf>
    <xf numFmtId="4" fontId="2" fillId="0" borderId="10" xfId="0" applyNumberFormat="1" applyFont="1" applyBorder="1" applyAlignment="1" applyProtection="1">
      <alignment horizontal="right" wrapText="1"/>
      <protection/>
    </xf>
    <xf numFmtId="181" fontId="2" fillId="0" borderId="10" xfId="0" applyNumberFormat="1" applyFont="1" applyBorder="1" applyAlignment="1" applyProtection="1">
      <alignment wrapText="1"/>
      <protection/>
    </xf>
    <xf numFmtId="0" fontId="2" fillId="0" borderId="11" xfId="0" applyFont="1" applyBorder="1" applyAlignment="1" applyProtection="1">
      <alignment horizontal="right" vertical="top"/>
      <protection/>
    </xf>
    <xf numFmtId="181" fontId="2" fillId="0" borderId="10" xfId="42" applyNumberFormat="1" applyFont="1" applyBorder="1" applyAlignment="1" applyProtection="1">
      <alignment horizontal="right"/>
      <protection/>
    </xf>
    <xf numFmtId="0" fontId="2" fillId="0" borderId="10" xfId="0" applyFont="1" applyFill="1" applyBorder="1" applyAlignment="1" applyProtection="1">
      <alignment wrapText="1"/>
      <protection/>
    </xf>
    <xf numFmtId="0" fontId="6" fillId="0" borderId="10" xfId="57" applyFont="1" applyFill="1" applyBorder="1" applyAlignment="1" applyProtection="1">
      <alignment vertical="top" wrapText="1"/>
      <protection/>
    </xf>
    <xf numFmtId="0" fontId="12" fillId="0" borderId="10" xfId="57" applyFont="1" applyBorder="1" applyAlignment="1" applyProtection="1">
      <alignment horizontal="right"/>
      <protection/>
    </xf>
    <xf numFmtId="184" fontId="17" fillId="0" borderId="10" xfId="57" applyNumberFormat="1" applyFont="1" applyBorder="1" applyAlignment="1" applyProtection="1">
      <alignment horizontal="right"/>
      <protection/>
    </xf>
    <xf numFmtId="181" fontId="13" fillId="0" borderId="10" xfId="64" applyNumberFormat="1" applyFont="1" applyBorder="1" applyAlignment="1" applyProtection="1">
      <alignment/>
      <protection/>
    </xf>
    <xf numFmtId="0" fontId="6" fillId="0" borderId="10" xfId="57" applyFont="1" applyFill="1" applyBorder="1" applyAlignment="1" applyProtection="1">
      <alignment vertical="top"/>
      <protection/>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right" wrapText="1"/>
      <protection/>
    </xf>
    <xf numFmtId="0" fontId="6" fillId="0" borderId="10" xfId="0" applyFont="1" applyBorder="1" applyAlignment="1" applyProtection="1">
      <alignment horizontal="right"/>
      <protection/>
    </xf>
    <xf numFmtId="181" fontId="2" fillId="0" borderId="10" xfId="64" applyNumberFormat="1" applyFont="1" applyBorder="1" applyAlignment="1" applyProtection="1">
      <alignment/>
      <protection/>
    </xf>
    <xf numFmtId="181" fontId="11" fillId="0" borderId="10" xfId="64" applyNumberFormat="1" applyFont="1" applyBorder="1" applyAlignment="1" applyProtection="1">
      <alignment/>
      <protection/>
    </xf>
    <xf numFmtId="0" fontId="4" fillId="0" borderId="10" xfId="0" applyFont="1" applyBorder="1" applyAlignment="1" applyProtection="1">
      <alignment horizontal="right"/>
      <protection/>
    </xf>
    <xf numFmtId="181" fontId="2" fillId="0" borderId="10" xfId="64" applyNumberFormat="1" applyFont="1" applyFill="1" applyBorder="1" applyAlignment="1" applyProtection="1">
      <alignment/>
      <protection/>
    </xf>
    <xf numFmtId="0" fontId="2" fillId="0" borderId="10" xfId="0" applyFont="1" applyBorder="1" applyAlignment="1" applyProtection="1">
      <alignment/>
      <protection/>
    </xf>
    <xf numFmtId="0" fontId="6" fillId="0" borderId="10" xfId="0" applyFont="1" applyBorder="1" applyAlignment="1" applyProtection="1">
      <alignment vertical="top" wrapText="1"/>
      <protection/>
    </xf>
    <xf numFmtId="4" fontId="2" fillId="0" borderId="10" xfId="42" applyNumberFormat="1" applyFont="1" applyFill="1" applyBorder="1" applyAlignment="1" applyProtection="1">
      <alignment horizontal="right" wrapText="1"/>
      <protection/>
    </xf>
    <xf numFmtId="181" fontId="2" fillId="0" borderId="10" xfId="42" applyNumberFormat="1" applyFont="1" applyFill="1" applyBorder="1" applyAlignment="1" applyProtection="1">
      <alignment horizontal="right"/>
      <protection/>
    </xf>
    <xf numFmtId="4" fontId="2" fillId="0" borderId="10" xfId="0" applyNumberFormat="1" applyFont="1" applyBorder="1" applyAlignment="1" applyProtection="1">
      <alignment/>
      <protection/>
    </xf>
    <xf numFmtId="1" fontId="2" fillId="0" borderId="10" xfId="0" applyNumberFormat="1" applyFont="1" applyBorder="1" applyAlignment="1" applyProtection="1">
      <alignment vertical="top" wrapText="1"/>
      <protection/>
    </xf>
    <xf numFmtId="0" fontId="2" fillId="0" borderId="10" xfId="0" applyFont="1" applyBorder="1" applyAlignment="1" applyProtection="1">
      <alignment horizontal="right" wrapText="1"/>
      <protection/>
    </xf>
    <xf numFmtId="4" fontId="2" fillId="0" borderId="10" xfId="42" applyNumberFormat="1" applyFont="1" applyFill="1" applyBorder="1" applyAlignment="1" applyProtection="1">
      <alignment horizontal="right"/>
      <protection/>
    </xf>
    <xf numFmtId="49" fontId="2" fillId="0" borderId="10" xfId="0" applyNumberFormat="1" applyFont="1" applyFill="1" applyBorder="1" applyAlignment="1" applyProtection="1">
      <alignment horizontal="right" wrapText="1"/>
      <protection/>
    </xf>
    <xf numFmtId="4" fontId="2" fillId="0" borderId="10" xfId="0" applyNumberFormat="1" applyFont="1" applyBorder="1" applyAlignment="1" applyProtection="1">
      <alignment wrapText="1"/>
      <protection/>
    </xf>
    <xf numFmtId="181" fontId="2" fillId="0" borderId="10" xfId="42" applyNumberFormat="1" applyFont="1" applyBorder="1" applyAlignment="1" applyProtection="1">
      <alignment wrapText="1"/>
      <protection/>
    </xf>
    <xf numFmtId="4" fontId="2" fillId="0" borderId="10" xfId="42" applyNumberFormat="1" applyFont="1" applyBorder="1" applyAlignment="1" applyProtection="1">
      <alignment horizontal="right" wrapText="1"/>
      <protection/>
    </xf>
    <xf numFmtId="181" fontId="2" fillId="0" borderId="10" xfId="42" applyNumberFormat="1" applyFont="1" applyBorder="1" applyAlignment="1" applyProtection="1">
      <alignment horizontal="right" wrapText="1"/>
      <protection/>
    </xf>
    <xf numFmtId="4" fontId="2" fillId="0" borderId="10" xfId="0" applyNumberFormat="1" applyFont="1" applyBorder="1" applyAlignment="1" applyProtection="1">
      <alignment vertical="top" wrapText="1"/>
      <protection/>
    </xf>
    <xf numFmtId="0" fontId="2" fillId="0" borderId="10" xfId="0" applyFont="1" applyBorder="1" applyAlignment="1" applyProtection="1">
      <alignment horizontal="center" wrapText="1"/>
      <protection/>
    </xf>
    <xf numFmtId="185" fontId="2" fillId="0" borderId="10" xfId="0" applyNumberFormat="1" applyFont="1" applyBorder="1" applyAlignment="1" applyProtection="1">
      <alignment horizontal="left" vertical="top" wrapText="1"/>
      <protection/>
    </xf>
    <xf numFmtId="4" fontId="2" fillId="32" borderId="10" xfId="0" applyNumberFormat="1" applyFont="1" applyFill="1" applyBorder="1" applyAlignment="1" applyProtection="1">
      <alignment vertical="top" wrapText="1"/>
      <protection/>
    </xf>
    <xf numFmtId="0" fontId="2" fillId="32" borderId="10" xfId="0" applyFont="1" applyFill="1" applyBorder="1" applyAlignment="1" applyProtection="1">
      <alignment horizontal="right"/>
      <protection/>
    </xf>
    <xf numFmtId="4" fontId="2" fillId="32" borderId="10" xfId="0" applyNumberFormat="1" applyFont="1" applyFill="1" applyBorder="1" applyAlignment="1" applyProtection="1">
      <alignment wrapText="1"/>
      <protection/>
    </xf>
    <xf numFmtId="181" fontId="2" fillId="32" borderId="10" xfId="0" applyNumberFormat="1" applyFont="1" applyFill="1" applyBorder="1" applyAlignment="1" applyProtection="1">
      <alignment/>
      <protection/>
    </xf>
    <xf numFmtId="4" fontId="2" fillId="0" borderId="10" xfId="0" applyNumberFormat="1" applyFont="1" applyBorder="1" applyAlignment="1" applyProtection="1">
      <alignment horizontal="justify" vertical="top"/>
      <protection/>
    </xf>
    <xf numFmtId="3" fontId="2" fillId="0" borderId="10" xfId="0" applyNumberFormat="1" applyFont="1" applyFill="1" applyBorder="1" applyAlignment="1" applyProtection="1">
      <alignment horizontal="right"/>
      <protection/>
    </xf>
    <xf numFmtId="181" fontId="2" fillId="0" borderId="10" xfId="0" applyNumberFormat="1" applyFont="1" applyFill="1" applyBorder="1" applyAlignment="1" applyProtection="1">
      <alignment/>
      <protection locked="0"/>
    </xf>
    <xf numFmtId="3" fontId="2" fillId="0" borderId="10" xfId="0" applyNumberFormat="1" applyFont="1" applyFill="1" applyBorder="1" applyAlignment="1" applyProtection="1">
      <alignment vertical="top" wrapText="1"/>
      <protection/>
    </xf>
    <xf numFmtId="0" fontId="2" fillId="0" borderId="10" xfId="0" applyFont="1" applyBorder="1" applyAlignment="1" applyProtection="1">
      <alignment horizontal="center"/>
      <protection/>
    </xf>
    <xf numFmtId="0" fontId="2" fillId="0" borderId="10" xfId="0" applyFont="1" applyBorder="1" applyAlignment="1" applyProtection="1">
      <alignment horizontal="left"/>
      <protection/>
    </xf>
    <xf numFmtId="4" fontId="2" fillId="0" borderId="10" xfId="0" applyNumberFormat="1" applyFont="1" applyBorder="1" applyAlignment="1" applyProtection="1">
      <alignment horizontal="left"/>
      <protection/>
    </xf>
    <xf numFmtId="181" fontId="2" fillId="0" borderId="10" xfId="42" applyNumberFormat="1" applyFont="1" applyBorder="1" applyAlignment="1" applyProtection="1">
      <alignment horizontal="left"/>
      <protection/>
    </xf>
    <xf numFmtId="0" fontId="2" fillId="0" borderId="10" xfId="0" applyFont="1" applyBorder="1" applyAlignment="1" applyProtection="1">
      <alignment horizontal="left" vertical="top"/>
      <protection/>
    </xf>
    <xf numFmtId="0" fontId="6" fillId="0" borderId="10" xfId="0" applyFont="1" applyBorder="1" applyAlignment="1" applyProtection="1">
      <alignment horizontal="center"/>
      <protection/>
    </xf>
    <xf numFmtId="4" fontId="6" fillId="0" borderId="10" xfId="55" applyNumberFormat="1" applyFont="1" applyBorder="1" applyAlignment="1" applyProtection="1">
      <alignment/>
      <protection/>
    </xf>
    <xf numFmtId="0" fontId="6" fillId="0" borderId="10" xfId="0" applyFont="1" applyBorder="1" applyAlignment="1" applyProtection="1">
      <alignment/>
      <protection/>
    </xf>
    <xf numFmtId="0" fontId="3" fillId="0" borderId="11" xfId="0" applyFont="1" applyBorder="1" applyAlignment="1" applyProtection="1">
      <alignment horizontal="left" vertical="top"/>
      <protection/>
    </xf>
    <xf numFmtId="181" fontId="2" fillId="0" borderId="10" xfId="0" applyNumberFormat="1" applyFont="1" applyFill="1" applyBorder="1" applyAlignment="1" applyProtection="1">
      <alignment horizontal="right" wrapText="1"/>
      <protection locked="0"/>
    </xf>
    <xf numFmtId="181" fontId="2" fillId="0" borderId="10" xfId="55" applyNumberFormat="1" applyFont="1" applyFill="1" applyBorder="1" applyAlignment="1" applyProtection="1">
      <alignment/>
      <protection locked="0"/>
    </xf>
    <xf numFmtId="181" fontId="24" fillId="0" borderId="10" xfId="55" applyNumberFormat="1" applyFont="1" applyFill="1" applyBorder="1" applyAlignment="1" applyProtection="1">
      <alignment/>
      <protection locked="0"/>
    </xf>
    <xf numFmtId="181" fontId="25" fillId="0" borderId="10" xfId="55" applyNumberFormat="1" applyFont="1" applyFill="1" applyBorder="1" applyAlignment="1" applyProtection="1">
      <alignment/>
      <protection locked="0"/>
    </xf>
    <xf numFmtId="180" fontId="2" fillId="0" borderId="10" xfId="55" applyNumberFormat="1" applyFont="1" applyFill="1" applyBorder="1" applyAlignment="1" applyProtection="1">
      <alignment/>
      <protection locked="0"/>
    </xf>
    <xf numFmtId="0" fontId="6" fillId="0" borderId="10" xfId="0" applyFont="1" applyFill="1" applyBorder="1" applyAlignment="1" applyProtection="1">
      <alignment/>
      <protection locked="0"/>
    </xf>
    <xf numFmtId="181" fontId="2" fillId="0" borderId="10" xfId="44" applyNumberFormat="1" applyFont="1" applyFill="1" applyBorder="1" applyAlignment="1" applyProtection="1">
      <alignment/>
      <protection locked="0"/>
    </xf>
    <xf numFmtId="181" fontId="6" fillId="0" borderId="10" xfId="0" applyNumberFormat="1" applyFont="1" applyFill="1" applyBorder="1" applyAlignment="1" applyProtection="1">
      <alignment/>
      <protection locked="0"/>
    </xf>
    <xf numFmtId="181" fontId="6" fillId="0" borderId="10" xfId="55" applyNumberFormat="1" applyFont="1" applyFill="1" applyBorder="1" applyAlignment="1" applyProtection="1">
      <alignment/>
      <protection locked="0"/>
    </xf>
    <xf numFmtId="181" fontId="2" fillId="0" borderId="10" xfId="0" applyNumberFormat="1" applyFont="1" applyFill="1" applyBorder="1" applyAlignment="1" applyProtection="1">
      <alignment/>
      <protection locked="0"/>
    </xf>
    <xf numFmtId="181" fontId="2" fillId="0" borderId="10" xfId="42" applyNumberFormat="1" applyFont="1" applyFill="1" applyBorder="1" applyAlignment="1" applyProtection="1">
      <alignment horizontal="right" wrapText="1"/>
      <protection locked="0"/>
    </xf>
    <xf numFmtId="180" fontId="2" fillId="0" borderId="10" xfId="55" applyNumberFormat="1" applyFont="1" applyBorder="1" applyAlignment="1" applyProtection="1">
      <alignment horizontal="right"/>
      <protection locked="0"/>
    </xf>
    <xf numFmtId="181" fontId="2" fillId="0" borderId="10" xfId="55" applyNumberFormat="1" applyFont="1" applyBorder="1" applyAlignment="1" applyProtection="1">
      <alignment horizontal="right"/>
      <protection locked="0"/>
    </xf>
    <xf numFmtId="181" fontId="2" fillId="0" borderId="10" xfId="0" applyNumberFormat="1" applyFont="1" applyBorder="1" applyAlignment="1" applyProtection="1">
      <alignment horizontal="right"/>
      <protection locked="0"/>
    </xf>
    <xf numFmtId="181" fontId="6" fillId="0" borderId="10" xfId="0" applyNumberFormat="1" applyFont="1" applyBorder="1" applyAlignment="1" applyProtection="1">
      <alignment/>
      <protection locked="0"/>
    </xf>
    <xf numFmtId="181" fontId="2" fillId="0" borderId="10" xfId="42" applyNumberFormat="1" applyFont="1" applyBorder="1" applyAlignment="1" applyProtection="1">
      <alignment horizontal="right"/>
      <protection locked="0"/>
    </xf>
    <xf numFmtId="181" fontId="2" fillId="0" borderId="10" xfId="0" applyNumberFormat="1" applyFont="1" applyFill="1" applyBorder="1" applyAlignment="1" applyProtection="1">
      <alignment horizontal="right"/>
      <protection locked="0"/>
    </xf>
    <xf numFmtId="181" fontId="18" fillId="0" borderId="10" xfId="66" applyNumberFormat="1" applyFont="1" applyBorder="1" applyAlignment="1" applyProtection="1">
      <alignment/>
      <protection locked="0"/>
    </xf>
    <xf numFmtId="0" fontId="2" fillId="0" borderId="10" xfId="0" applyFont="1" applyBorder="1" applyAlignment="1" applyProtection="1">
      <alignment/>
      <protection locked="0"/>
    </xf>
    <xf numFmtId="181" fontId="2" fillId="0" borderId="10" xfId="0" applyNumberFormat="1" applyFont="1" applyBorder="1" applyAlignment="1" applyProtection="1">
      <alignment wrapText="1"/>
      <protection locked="0"/>
    </xf>
    <xf numFmtId="181" fontId="2" fillId="0" borderId="10" xfId="0" applyNumberFormat="1" applyFont="1" applyFill="1" applyBorder="1" applyAlignment="1" applyProtection="1">
      <alignment wrapText="1"/>
      <protection locked="0"/>
    </xf>
    <xf numFmtId="0" fontId="4" fillId="0" borderId="0" xfId="0" applyFont="1" applyAlignment="1" applyProtection="1">
      <alignment/>
      <protection locked="0"/>
    </xf>
    <xf numFmtId="181" fontId="2" fillId="0" borderId="10" xfId="0" applyNumberFormat="1" applyFont="1" applyBorder="1" applyAlignment="1" applyProtection="1">
      <alignment/>
      <protection locked="0"/>
    </xf>
    <xf numFmtId="0" fontId="9" fillId="0" borderId="0" xfId="0" applyFont="1" applyAlignment="1" applyProtection="1">
      <alignment horizontal="right"/>
      <protection/>
    </xf>
    <xf numFmtId="0" fontId="9" fillId="0" borderId="0" xfId="0" applyFont="1" applyAlignment="1" applyProtection="1">
      <alignment/>
      <protection/>
    </xf>
    <xf numFmtId="181" fontId="9" fillId="0" borderId="0" xfId="0" applyNumberFormat="1" applyFont="1" applyAlignment="1" applyProtection="1">
      <alignment/>
      <protection/>
    </xf>
    <xf numFmtId="4" fontId="3" fillId="0" borderId="10" xfId="0" applyNumberFormat="1" applyFont="1" applyBorder="1" applyAlignment="1" applyProtection="1">
      <alignment horizontal="center" vertical="center"/>
      <protection/>
    </xf>
    <xf numFmtId="181" fontId="3" fillId="0" borderId="10" xfId="0" applyNumberFormat="1" applyFont="1" applyBorder="1" applyAlignment="1" applyProtection="1">
      <alignment horizontal="center" vertical="center"/>
      <protection/>
    </xf>
    <xf numFmtId="0" fontId="80" fillId="0" borderId="0" xfId="0" applyFont="1" applyAlignment="1" applyProtection="1">
      <alignment/>
      <protection/>
    </xf>
    <xf numFmtId="181" fontId="2" fillId="0" borderId="10" xfId="42" applyNumberFormat="1" applyFont="1" applyFill="1" applyBorder="1" applyAlignment="1" applyProtection="1">
      <alignment horizontal="right"/>
      <protection locked="0"/>
    </xf>
    <xf numFmtId="181" fontId="2" fillId="0" borderId="10" xfId="42" applyNumberFormat="1" applyFont="1" applyBorder="1" applyAlignment="1" applyProtection="1">
      <alignment wrapText="1"/>
      <protection locked="0"/>
    </xf>
    <xf numFmtId="181" fontId="2" fillId="0" borderId="10" xfId="42" applyNumberFormat="1" applyFont="1" applyBorder="1" applyAlignment="1" applyProtection="1">
      <alignment horizontal="right" wrapText="1"/>
      <protection locked="0"/>
    </xf>
    <xf numFmtId="181" fontId="2" fillId="32" borderId="10" xfId="0" applyNumberFormat="1" applyFont="1" applyFill="1" applyBorder="1" applyAlignment="1" applyProtection="1">
      <alignment/>
      <protection locked="0"/>
    </xf>
    <xf numFmtId="181" fontId="2" fillId="0" borderId="10" xfId="0" applyNumberFormat="1" applyFont="1" applyBorder="1" applyAlignment="1" applyProtection="1">
      <alignment horizontal="right" wrapText="1"/>
      <protection locked="0"/>
    </xf>
    <xf numFmtId="4" fontId="8" fillId="0" borderId="10" xfId="0" applyNumberFormat="1" applyFont="1" applyFill="1" applyBorder="1" applyAlignment="1" applyProtection="1">
      <alignment horizontal="center" wrapText="1"/>
      <protection locked="0"/>
    </xf>
    <xf numFmtId="4" fontId="2" fillId="0" borderId="0" xfId="42" applyNumberFormat="1" applyFont="1" applyBorder="1" applyAlignment="1" applyProtection="1">
      <alignment horizontal="right"/>
      <protection locked="0"/>
    </xf>
    <xf numFmtId="181" fontId="2" fillId="0" borderId="10" xfId="0" applyNumberFormat="1" applyFont="1" applyBorder="1" applyAlignment="1" applyProtection="1">
      <alignment/>
      <protection locked="0"/>
    </xf>
    <xf numFmtId="4" fontId="2" fillId="0" borderId="10" xfId="42" applyNumberFormat="1" applyFont="1" applyBorder="1" applyAlignment="1" applyProtection="1">
      <alignment horizontal="left"/>
      <protection locked="0"/>
    </xf>
    <xf numFmtId="4" fontId="2" fillId="0" borderId="0" xfId="42" applyNumberFormat="1" applyFont="1" applyBorder="1" applyAlignment="1" applyProtection="1">
      <alignment horizontal="left"/>
      <protection locked="0"/>
    </xf>
    <xf numFmtId="4" fontId="3" fillId="0" borderId="12" xfId="42" applyNumberFormat="1" applyFont="1" applyBorder="1" applyAlignment="1" applyProtection="1">
      <alignment horizontal="left"/>
      <protection locked="0"/>
    </xf>
    <xf numFmtId="4" fontId="2" fillId="0" borderId="10" xfId="42" applyNumberFormat="1" applyFont="1" applyBorder="1" applyAlignment="1" applyProtection="1">
      <alignment horizontal="right"/>
      <protection locked="0"/>
    </xf>
    <xf numFmtId="0" fontId="26" fillId="0" borderId="0" xfId="0" applyFont="1" applyBorder="1" applyAlignment="1" applyProtection="1">
      <alignment horizontal="right" vertical="top"/>
      <protection/>
    </xf>
    <xf numFmtId="0" fontId="26" fillId="0" borderId="0" xfId="0" applyFont="1" applyBorder="1" applyAlignment="1" applyProtection="1">
      <alignment horizontal="left" vertical="top"/>
      <protection/>
    </xf>
    <xf numFmtId="0" fontId="26" fillId="0" borderId="0" xfId="0" applyFont="1" applyBorder="1" applyAlignment="1" applyProtection="1">
      <alignment vertical="top"/>
      <protection/>
    </xf>
    <xf numFmtId="0" fontId="26" fillId="0" borderId="0" xfId="0" applyFont="1" applyBorder="1" applyAlignment="1" applyProtection="1">
      <alignment horizontal="center" vertical="top"/>
      <protection/>
    </xf>
    <xf numFmtId="0" fontId="26" fillId="0" borderId="0" xfId="0" applyNumberFormat="1" applyFont="1" applyBorder="1" applyAlignment="1" applyProtection="1">
      <alignment vertical="top"/>
      <protection/>
    </xf>
    <xf numFmtId="0" fontId="26" fillId="0" borderId="0" xfId="0" applyFont="1" applyFill="1" applyBorder="1" applyAlignment="1" applyProtection="1">
      <alignment vertical="top"/>
      <protection/>
    </xf>
    <xf numFmtId="0" fontId="29" fillId="0" borderId="0" xfId="0" applyFont="1" applyBorder="1" applyAlignment="1" applyProtection="1">
      <alignment horizontal="center" vertical="top"/>
      <protection/>
    </xf>
    <xf numFmtId="0" fontId="29" fillId="0" borderId="0" xfId="0" applyNumberFormat="1" applyFont="1" applyBorder="1" applyAlignment="1" applyProtection="1">
      <alignment vertical="top"/>
      <protection/>
    </xf>
    <xf numFmtId="0" fontId="33" fillId="0" borderId="0" xfId="0" applyFont="1" applyBorder="1" applyAlignment="1" applyProtection="1">
      <alignment vertical="top"/>
      <protection/>
    </xf>
    <xf numFmtId="0" fontId="33" fillId="0" borderId="0" xfId="0" applyFont="1" applyFill="1" applyBorder="1" applyAlignment="1" applyProtection="1">
      <alignment horizontal="right" vertical="top"/>
      <protection/>
    </xf>
    <xf numFmtId="4" fontId="33" fillId="0" borderId="0" xfId="0" applyNumberFormat="1" applyFont="1" applyBorder="1" applyAlignment="1" applyProtection="1">
      <alignment horizontal="center" vertical="top"/>
      <protection/>
    </xf>
    <xf numFmtId="0" fontId="33" fillId="0" borderId="0" xfId="0" applyFont="1" applyFill="1" applyBorder="1" applyAlignment="1" applyProtection="1">
      <alignment vertical="top"/>
      <protection/>
    </xf>
    <xf numFmtId="0" fontId="27" fillId="0" borderId="0" xfId="0" applyFont="1" applyBorder="1" applyAlignment="1" applyProtection="1">
      <alignment vertical="top"/>
      <protection/>
    </xf>
    <xf numFmtId="0" fontId="29" fillId="0" borderId="0" xfId="0" applyFont="1" applyBorder="1" applyAlignment="1" applyProtection="1">
      <alignment vertical="top"/>
      <protection/>
    </xf>
    <xf numFmtId="0" fontId="27" fillId="0" borderId="0" xfId="0" applyFont="1" applyFill="1" applyBorder="1" applyAlignment="1" applyProtection="1">
      <alignment horizontal="right" vertical="top"/>
      <protection/>
    </xf>
    <xf numFmtId="4" fontId="27" fillId="0" borderId="0" xfId="0" applyNumberFormat="1" applyFont="1" applyBorder="1" applyAlignment="1" applyProtection="1">
      <alignment horizontal="center" vertical="top"/>
      <protection/>
    </xf>
    <xf numFmtId="0" fontId="27" fillId="0" borderId="0" xfId="0" applyFont="1" applyFill="1" applyBorder="1" applyAlignment="1" applyProtection="1">
      <alignment vertical="top"/>
      <protection/>
    </xf>
    <xf numFmtId="0" fontId="29" fillId="0" borderId="0" xfId="0" applyFont="1" applyFill="1" applyBorder="1" applyAlignment="1" applyProtection="1">
      <alignment vertical="top"/>
      <protection/>
    </xf>
    <xf numFmtId="49" fontId="20" fillId="0" borderId="0" xfId="0" applyNumberFormat="1" applyFont="1" applyBorder="1" applyAlignment="1" applyProtection="1">
      <alignment horizontal="left" vertical="top"/>
      <protection/>
    </xf>
    <xf numFmtId="0" fontId="20" fillId="0" borderId="0" xfId="0" applyFont="1" applyBorder="1" applyAlignment="1" applyProtection="1">
      <alignment vertical="top"/>
      <protection/>
    </xf>
    <xf numFmtId="0" fontId="20" fillId="0" borderId="0" xfId="0" applyFont="1" applyBorder="1" applyAlignment="1" applyProtection="1">
      <alignment horizontal="center" vertical="top"/>
      <protection/>
    </xf>
    <xf numFmtId="0" fontId="20" fillId="0" borderId="0" xfId="0" applyNumberFormat="1" applyFont="1" applyBorder="1" applyAlignment="1" applyProtection="1">
      <alignment vertical="top"/>
      <protection/>
    </xf>
    <xf numFmtId="0" fontId="32" fillId="0" borderId="0" xfId="0" applyNumberFormat="1" applyFont="1" applyBorder="1" applyAlignment="1" applyProtection="1">
      <alignment vertical="top"/>
      <protection/>
    </xf>
    <xf numFmtId="0" fontId="20" fillId="0" borderId="0" xfId="0" applyFont="1" applyFill="1" applyBorder="1" applyAlignment="1" applyProtection="1">
      <alignment vertical="top"/>
      <protection/>
    </xf>
    <xf numFmtId="0" fontId="27" fillId="0" borderId="0" xfId="0" applyNumberFormat="1" applyFont="1" applyBorder="1" applyAlignment="1" applyProtection="1">
      <alignment vertical="top"/>
      <protection/>
    </xf>
    <xf numFmtId="0" fontId="29" fillId="0" borderId="0" xfId="0" applyNumberFormat="1" applyFont="1" applyBorder="1" applyAlignment="1" applyProtection="1">
      <alignment vertical="top" wrapText="1"/>
      <protection/>
    </xf>
    <xf numFmtId="0" fontId="32" fillId="33" borderId="0" xfId="0" applyFont="1" applyFill="1" applyBorder="1" applyAlignment="1" applyProtection="1">
      <alignment vertical="top"/>
      <protection/>
    </xf>
    <xf numFmtId="49" fontId="32" fillId="33" borderId="0" xfId="0" applyNumberFormat="1" applyFont="1" applyFill="1" applyBorder="1" applyAlignment="1" applyProtection="1">
      <alignment horizontal="left" vertical="top" wrapText="1"/>
      <protection/>
    </xf>
    <xf numFmtId="0" fontId="32" fillId="33" borderId="0" xfId="0" applyNumberFormat="1" applyFont="1" applyFill="1" applyBorder="1" applyAlignment="1" applyProtection="1">
      <alignment horizontal="center" vertical="top"/>
      <protection/>
    </xf>
    <xf numFmtId="0" fontId="32" fillId="0" borderId="0" xfId="0" applyFont="1" applyFill="1" applyBorder="1" applyAlignment="1" applyProtection="1">
      <alignment vertical="top"/>
      <protection/>
    </xf>
    <xf numFmtId="49" fontId="20" fillId="0" borderId="0" xfId="0" applyNumberFormat="1" applyFont="1" applyBorder="1" applyAlignment="1" applyProtection="1">
      <alignment horizontal="left" vertical="top" wrapText="1"/>
      <protection/>
    </xf>
    <xf numFmtId="0" fontId="20" fillId="0" borderId="0" xfId="0" applyNumberFormat="1" applyFont="1" applyBorder="1" applyAlignment="1" applyProtection="1">
      <alignment horizontal="center" vertical="top"/>
      <protection/>
    </xf>
    <xf numFmtId="0" fontId="32" fillId="0" borderId="0" xfId="0" applyNumberFormat="1" applyFont="1" applyBorder="1" applyAlignment="1" applyProtection="1">
      <alignment horizontal="center" vertical="top"/>
      <protection/>
    </xf>
    <xf numFmtId="0" fontId="20" fillId="0" borderId="11" xfId="0" applyFont="1" applyBorder="1" applyAlignment="1" applyProtection="1">
      <alignment vertical="top"/>
      <protection/>
    </xf>
    <xf numFmtId="0" fontId="20" fillId="0" borderId="11" xfId="0" applyNumberFormat="1" applyFont="1" applyBorder="1" applyAlignment="1" applyProtection="1">
      <alignment vertical="top"/>
      <protection/>
    </xf>
    <xf numFmtId="0" fontId="20" fillId="0" borderId="0" xfId="0" applyFont="1" applyBorder="1" applyAlignment="1" applyProtection="1">
      <alignment horizontal="right" vertical="top"/>
      <protection/>
    </xf>
    <xf numFmtId="49" fontId="29" fillId="0" borderId="22" xfId="0" applyNumberFormat="1" applyFont="1" applyBorder="1" applyAlignment="1" applyProtection="1">
      <alignment horizontal="right" vertical="top"/>
      <protection/>
    </xf>
    <xf numFmtId="0" fontId="29" fillId="0" borderId="22" xfId="0" applyFont="1" applyBorder="1" applyAlignment="1" applyProtection="1">
      <alignment horizontal="left" vertical="top"/>
      <protection/>
    </xf>
    <xf numFmtId="0" fontId="27" fillId="0" borderId="22" xfId="0" applyNumberFormat="1" applyFont="1" applyBorder="1" applyAlignment="1" applyProtection="1">
      <alignment horizontal="left" vertical="top" wrapText="1"/>
      <protection/>
    </xf>
    <xf numFmtId="4" fontId="35" fillId="0" borderId="22" xfId="0" applyNumberFormat="1" applyFont="1" applyFill="1" applyBorder="1" applyAlignment="1" applyProtection="1">
      <alignment horizontal="center" vertical="top"/>
      <protection/>
    </xf>
    <xf numFmtId="4" fontId="29" fillId="0" borderId="22" xfId="0" applyNumberFormat="1" applyFont="1" applyFill="1" applyBorder="1" applyAlignment="1" applyProtection="1">
      <alignment horizontal="center" vertical="top"/>
      <protection/>
    </xf>
    <xf numFmtId="0" fontId="29" fillId="0" borderId="23" xfId="0" applyFont="1" applyBorder="1" applyAlignment="1" applyProtection="1">
      <alignment horizontal="right" vertical="top"/>
      <protection/>
    </xf>
    <xf numFmtId="0" fontId="29" fillId="0" borderId="23" xfId="0" applyFont="1" applyBorder="1" applyAlignment="1" applyProtection="1">
      <alignment horizontal="left" vertical="top"/>
      <protection/>
    </xf>
    <xf numFmtId="4" fontId="29" fillId="0" borderId="23" xfId="0" applyNumberFormat="1" applyFont="1" applyFill="1" applyBorder="1" applyAlignment="1" applyProtection="1">
      <alignment horizontal="center" vertical="top"/>
      <protection/>
    </xf>
    <xf numFmtId="0" fontId="29" fillId="0" borderId="0" xfId="0" applyFont="1" applyBorder="1" applyAlignment="1" applyProtection="1">
      <alignment horizontal="right" vertical="top"/>
      <protection/>
    </xf>
    <xf numFmtId="0" fontId="29" fillId="0" borderId="0" xfId="0" applyFont="1" applyBorder="1" applyAlignment="1" applyProtection="1">
      <alignment horizontal="left" vertical="top"/>
      <protection/>
    </xf>
    <xf numFmtId="3" fontId="29" fillId="0" borderId="0" xfId="0" applyNumberFormat="1" applyFont="1" applyBorder="1" applyAlignment="1" applyProtection="1">
      <alignment horizontal="center" vertical="top"/>
      <protection/>
    </xf>
    <xf numFmtId="4" fontId="29" fillId="0" borderId="0" xfId="0" applyNumberFormat="1" applyFont="1" applyFill="1" applyBorder="1" applyAlignment="1" applyProtection="1">
      <alignment horizontal="center" vertical="top"/>
      <protection/>
    </xf>
    <xf numFmtId="0" fontId="29" fillId="0" borderId="22" xfId="0" applyFont="1" applyBorder="1" applyAlignment="1" applyProtection="1">
      <alignment horizontal="right" vertical="top"/>
      <protection/>
    </xf>
    <xf numFmtId="0" fontId="37" fillId="0" borderId="0" xfId="0" applyFont="1" applyBorder="1" applyAlignment="1" applyProtection="1">
      <alignment horizontal="right" vertical="top"/>
      <protection/>
    </xf>
    <xf numFmtId="4" fontId="37" fillId="0" borderId="0" xfId="0" applyNumberFormat="1" applyFont="1" applyFill="1" applyBorder="1" applyAlignment="1" applyProtection="1">
      <alignment horizontal="center" vertical="top"/>
      <protection/>
    </xf>
    <xf numFmtId="4" fontId="33" fillId="0" borderId="0" xfId="0" applyNumberFormat="1" applyFont="1" applyFill="1" applyBorder="1" applyAlignment="1" applyProtection="1">
      <alignment horizontal="center" vertical="top"/>
      <protection/>
    </xf>
    <xf numFmtId="0" fontId="37" fillId="0" borderId="0" xfId="0" applyFont="1" applyFill="1" applyBorder="1" applyAlignment="1" applyProtection="1">
      <alignment vertical="top"/>
      <protection/>
    </xf>
    <xf numFmtId="0" fontId="29" fillId="0" borderId="11" xfId="0" applyFont="1" applyBorder="1" applyAlignment="1" applyProtection="1">
      <alignment horizontal="right" vertical="top"/>
      <protection/>
    </xf>
    <xf numFmtId="0" fontId="29" fillId="0" borderId="11" xfId="0" applyFont="1" applyBorder="1" applyAlignment="1" applyProtection="1">
      <alignment horizontal="left" vertical="top"/>
      <protection/>
    </xf>
    <xf numFmtId="4" fontId="35" fillId="0" borderId="11" xfId="0" applyNumberFormat="1" applyFont="1" applyFill="1" applyBorder="1" applyAlignment="1" applyProtection="1">
      <alignment horizontal="center" vertical="top"/>
      <protection/>
    </xf>
    <xf numFmtId="4" fontId="35" fillId="0" borderId="11" xfId="0" applyNumberFormat="1" applyFont="1" applyBorder="1" applyAlignment="1" applyProtection="1">
      <alignment horizontal="center" vertical="top"/>
      <protection/>
    </xf>
    <xf numFmtId="4" fontId="35" fillId="0" borderId="0" xfId="0" applyNumberFormat="1" applyFont="1" applyFill="1" applyBorder="1" applyAlignment="1" applyProtection="1">
      <alignment horizontal="center" vertical="top"/>
      <protection/>
    </xf>
    <xf numFmtId="4" fontId="35" fillId="0" borderId="22" xfId="0" applyNumberFormat="1" applyFont="1" applyBorder="1" applyAlignment="1" applyProtection="1">
      <alignment horizontal="center" vertical="top"/>
      <protection/>
    </xf>
    <xf numFmtId="4" fontId="29" fillId="0" borderId="23" xfId="0" applyNumberFormat="1" applyFont="1" applyBorder="1" applyAlignment="1" applyProtection="1">
      <alignment horizontal="center" vertical="top"/>
      <protection/>
    </xf>
    <xf numFmtId="4" fontId="29" fillId="0" borderId="0" xfId="0" applyNumberFormat="1" applyFont="1" applyBorder="1" applyAlignment="1" applyProtection="1">
      <alignment vertical="top"/>
      <protection/>
    </xf>
    <xf numFmtId="4" fontId="29" fillId="0" borderId="0" xfId="0" applyNumberFormat="1" applyFont="1" applyBorder="1" applyAlignment="1" applyProtection="1">
      <alignment horizontal="center" vertical="top"/>
      <protection/>
    </xf>
    <xf numFmtId="49" fontId="29" fillId="0" borderId="0" xfId="0" applyNumberFormat="1" applyFont="1" applyBorder="1" applyAlignment="1" applyProtection="1">
      <alignment horizontal="right" vertical="top"/>
      <protection/>
    </xf>
    <xf numFmtId="4" fontId="35" fillId="0" borderId="0" xfId="0" applyNumberFormat="1" applyFont="1" applyBorder="1" applyAlignment="1" applyProtection="1">
      <alignment horizontal="center" vertical="top"/>
      <protection/>
    </xf>
    <xf numFmtId="49" fontId="29" fillId="0" borderId="23" xfId="0" applyNumberFormat="1" applyFont="1" applyBorder="1" applyAlignment="1" applyProtection="1">
      <alignment horizontal="right" vertical="top"/>
      <protection/>
    </xf>
    <xf numFmtId="4" fontId="35" fillId="0" borderId="23" xfId="0" applyNumberFormat="1" applyFont="1" applyBorder="1" applyAlignment="1" applyProtection="1">
      <alignment horizontal="center" vertical="top"/>
      <protection/>
    </xf>
    <xf numFmtId="0" fontId="29" fillId="0" borderId="22" xfId="0" applyFont="1" applyFill="1" applyBorder="1" applyAlignment="1" applyProtection="1">
      <alignment vertical="top"/>
      <protection/>
    </xf>
    <xf numFmtId="0" fontId="38" fillId="0" borderId="10" xfId="0" applyFont="1" applyBorder="1" applyAlignment="1" applyProtection="1">
      <alignment horizontal="center" vertical="top"/>
      <protection/>
    </xf>
    <xf numFmtId="3" fontId="31" fillId="0" borderId="10" xfId="0" applyNumberFormat="1" applyFont="1" applyBorder="1" applyAlignment="1" applyProtection="1">
      <alignment horizontal="center" vertical="top"/>
      <protection/>
    </xf>
    <xf numFmtId="4" fontId="35" fillId="0" borderId="10" xfId="0" applyNumberFormat="1" applyFont="1" applyBorder="1" applyAlignment="1" applyProtection="1">
      <alignment horizontal="center" vertical="top"/>
      <protection/>
    </xf>
    <xf numFmtId="4" fontId="27" fillId="0" borderId="10" xfId="0" applyNumberFormat="1" applyFont="1" applyFill="1" applyBorder="1" applyAlignment="1" applyProtection="1">
      <alignment horizontal="center" vertical="top"/>
      <protection/>
    </xf>
    <xf numFmtId="0" fontId="31" fillId="0" borderId="10" xfId="0" applyNumberFormat="1" applyFont="1" applyBorder="1" applyAlignment="1" applyProtection="1">
      <alignment horizontal="left" vertical="top" wrapText="1"/>
      <protection/>
    </xf>
    <xf numFmtId="1" fontId="31" fillId="0" borderId="10" xfId="0" applyNumberFormat="1" applyFont="1" applyBorder="1" applyAlignment="1" applyProtection="1">
      <alignment horizontal="center" vertical="top"/>
      <protection/>
    </xf>
    <xf numFmtId="0" fontId="27" fillId="0" borderId="10" xfId="0" applyNumberFormat="1" applyFont="1" applyBorder="1" applyAlignment="1" applyProtection="1">
      <alignment horizontal="left" vertical="top" wrapText="1"/>
      <protection/>
    </xf>
    <xf numFmtId="0" fontId="38" fillId="0" borderId="24" xfId="0" applyFont="1" applyBorder="1" applyAlignment="1" applyProtection="1">
      <alignment vertical="top"/>
      <protection/>
    </xf>
    <xf numFmtId="0" fontId="38" fillId="0" borderId="24" xfId="0" applyFont="1" applyBorder="1" applyAlignment="1" applyProtection="1">
      <alignment horizontal="center" vertical="top"/>
      <protection/>
    </xf>
    <xf numFmtId="3" fontId="31" fillId="0" borderId="24" xfId="0" applyNumberFormat="1" applyFont="1" applyBorder="1" applyAlignment="1" applyProtection="1">
      <alignment horizontal="center" vertical="top"/>
      <protection/>
    </xf>
    <xf numFmtId="4" fontId="35" fillId="0" borderId="24" xfId="0" applyNumberFormat="1" applyFont="1" applyBorder="1" applyAlignment="1" applyProtection="1">
      <alignment horizontal="center" vertical="top"/>
      <protection/>
    </xf>
    <xf numFmtId="4" fontId="29" fillId="0" borderId="24" xfId="0" applyNumberFormat="1" applyFont="1" applyFill="1" applyBorder="1" applyAlignment="1" applyProtection="1">
      <alignment horizontal="center" vertical="top"/>
      <protection/>
    </xf>
    <xf numFmtId="4" fontId="29" fillId="0" borderId="10" xfId="0" applyNumberFormat="1" applyFont="1" applyFill="1" applyBorder="1" applyAlignment="1" applyProtection="1">
      <alignment horizontal="center" vertical="top"/>
      <protection/>
    </xf>
    <xf numFmtId="49" fontId="29" fillId="0" borderId="0" xfId="0" applyNumberFormat="1" applyFont="1" applyBorder="1" applyAlignment="1" applyProtection="1">
      <alignment horizontal="left" vertical="top"/>
      <protection/>
    </xf>
    <xf numFmtId="0" fontId="35" fillId="0" borderId="0" xfId="0" applyFont="1" applyFill="1" applyBorder="1" applyAlignment="1" applyProtection="1">
      <alignment vertical="top"/>
      <protection/>
    </xf>
    <xf numFmtId="49" fontId="29" fillId="0" borderId="23" xfId="0" applyNumberFormat="1" applyFont="1" applyBorder="1" applyAlignment="1" applyProtection="1">
      <alignment horizontal="left" vertical="top"/>
      <protection/>
    </xf>
    <xf numFmtId="0" fontId="29" fillId="0" borderId="0" xfId="0" applyNumberFormat="1" applyFont="1" applyFill="1" applyBorder="1" applyAlignment="1" applyProtection="1">
      <alignment horizontal="left" vertical="top" wrapText="1"/>
      <protection/>
    </xf>
    <xf numFmtId="0" fontId="28" fillId="0" borderId="0" xfId="0" applyFont="1" applyFill="1" applyBorder="1" applyAlignment="1" applyProtection="1">
      <alignment vertical="top"/>
      <protection/>
    </xf>
    <xf numFmtId="0" fontId="36" fillId="0" borderId="0" xfId="0" applyFont="1" applyAlignment="1" applyProtection="1">
      <alignment vertical="top"/>
      <protection/>
    </xf>
    <xf numFmtId="49" fontId="36" fillId="0" borderId="0" xfId="0" applyNumberFormat="1" applyFont="1" applyAlignment="1" applyProtection="1">
      <alignment horizontal="left" vertical="top" wrapText="1"/>
      <protection/>
    </xf>
    <xf numFmtId="0" fontId="36" fillId="0" borderId="0" xfId="0" applyFont="1" applyAlignment="1" applyProtection="1">
      <alignment horizontal="center" vertical="top"/>
      <protection/>
    </xf>
    <xf numFmtId="0" fontId="36" fillId="0" borderId="0" xfId="0" applyNumberFormat="1" applyFont="1" applyAlignment="1" applyProtection="1">
      <alignment vertical="top"/>
      <protection/>
    </xf>
    <xf numFmtId="0" fontId="41" fillId="0" borderId="0" xfId="0" applyNumberFormat="1" applyFont="1" applyAlignment="1" applyProtection="1">
      <alignment vertical="top"/>
      <protection/>
    </xf>
    <xf numFmtId="0" fontId="36" fillId="0" borderId="0" xfId="0" applyFont="1" applyFill="1" applyBorder="1" applyAlignment="1" applyProtection="1">
      <alignment vertical="top"/>
      <protection/>
    </xf>
    <xf numFmtId="0" fontId="35" fillId="0" borderId="0" xfId="0" applyNumberFormat="1" applyFont="1" applyBorder="1" applyAlignment="1" applyProtection="1">
      <alignment vertical="top"/>
      <protection/>
    </xf>
    <xf numFmtId="0" fontId="35" fillId="0" borderId="0" xfId="0" applyNumberFormat="1" applyFont="1" applyBorder="1" applyAlignment="1" applyProtection="1">
      <alignment vertical="top" wrapText="1"/>
      <protection/>
    </xf>
    <xf numFmtId="0" fontId="31" fillId="0" borderId="0" xfId="0" applyNumberFormat="1" applyFont="1" applyBorder="1" applyAlignment="1" applyProtection="1">
      <alignment vertical="top"/>
      <protection/>
    </xf>
    <xf numFmtId="0" fontId="20" fillId="0" borderId="0" xfId="0" applyNumberFormat="1" applyFont="1" applyBorder="1" applyAlignment="1" applyProtection="1">
      <alignment vertical="top"/>
      <protection locked="0"/>
    </xf>
    <xf numFmtId="4" fontId="35" fillId="0" borderId="22" xfId="0" applyNumberFormat="1" applyFont="1" applyFill="1" applyBorder="1" applyAlignment="1" applyProtection="1">
      <alignment horizontal="center" vertical="top"/>
      <protection locked="0"/>
    </xf>
    <xf numFmtId="4" fontId="29" fillId="0" borderId="23" xfId="0" applyNumberFormat="1" applyFont="1" applyFill="1" applyBorder="1" applyAlignment="1" applyProtection="1">
      <alignment vertical="top"/>
      <protection locked="0"/>
    </xf>
    <xf numFmtId="4" fontId="29" fillId="0" borderId="0" xfId="0" applyNumberFormat="1" applyFont="1" applyFill="1" applyBorder="1" applyAlignment="1" applyProtection="1">
      <alignment vertical="top"/>
      <protection locked="0"/>
    </xf>
    <xf numFmtId="4" fontId="37" fillId="0" borderId="0" xfId="0" applyNumberFormat="1" applyFont="1" applyFill="1" applyBorder="1" applyAlignment="1" applyProtection="1">
      <alignment vertical="top"/>
      <protection locked="0"/>
    </xf>
    <xf numFmtId="4" fontId="35" fillId="0" borderId="11" xfId="0" applyNumberFormat="1" applyFont="1" applyFill="1" applyBorder="1" applyAlignment="1" applyProtection="1">
      <alignment horizontal="center" vertical="top"/>
      <protection locked="0"/>
    </xf>
    <xf numFmtId="4" fontId="35" fillId="0" borderId="0" xfId="0" applyNumberFormat="1" applyFont="1" applyFill="1" applyBorder="1" applyAlignment="1" applyProtection="1">
      <alignment horizontal="center" vertical="top"/>
      <protection locked="0"/>
    </xf>
    <xf numFmtId="4" fontId="35" fillId="0" borderId="22" xfId="0" applyNumberFormat="1" applyFont="1" applyBorder="1" applyAlignment="1" applyProtection="1">
      <alignment horizontal="center" vertical="top"/>
      <protection locked="0"/>
    </xf>
    <xf numFmtId="4" fontId="29" fillId="0" borderId="23" xfId="0" applyNumberFormat="1" applyFont="1" applyBorder="1" applyAlignment="1" applyProtection="1">
      <alignment vertical="top"/>
      <protection locked="0"/>
    </xf>
    <xf numFmtId="4" fontId="29" fillId="0" borderId="0" xfId="0" applyNumberFormat="1" applyFont="1" applyBorder="1" applyAlignment="1" applyProtection="1">
      <alignment vertical="top"/>
      <protection locked="0"/>
    </xf>
    <xf numFmtId="4" fontId="35" fillId="0" borderId="0" xfId="0" applyNumberFormat="1" applyFont="1" applyBorder="1" applyAlignment="1" applyProtection="1">
      <alignment horizontal="center" vertical="top"/>
      <protection locked="0"/>
    </xf>
    <xf numFmtId="4" fontId="35" fillId="0" borderId="23" xfId="0" applyNumberFormat="1" applyFont="1" applyBorder="1" applyAlignment="1" applyProtection="1">
      <alignment horizontal="center" vertical="top"/>
      <protection locked="0"/>
    </xf>
    <xf numFmtId="4" fontId="35" fillId="0" borderId="11" xfId="0" applyNumberFormat="1" applyFont="1" applyBorder="1" applyAlignment="1" applyProtection="1">
      <alignment horizontal="center" vertical="top"/>
      <protection locked="0"/>
    </xf>
    <xf numFmtId="0" fontId="29" fillId="0" borderId="22" xfId="0" applyFont="1" applyFill="1" applyBorder="1" applyAlignment="1" applyProtection="1">
      <alignment vertical="top"/>
      <protection locked="0"/>
    </xf>
    <xf numFmtId="4" fontId="35" fillId="0" borderId="10" xfId="0" applyNumberFormat="1" applyFont="1" applyBorder="1" applyAlignment="1" applyProtection="1">
      <alignment horizontal="center" vertical="top"/>
      <protection locked="0"/>
    </xf>
    <xf numFmtId="0" fontId="29" fillId="0" borderId="0" xfId="0" applyFont="1" applyFill="1" applyBorder="1" applyAlignment="1" applyProtection="1">
      <alignment vertical="top"/>
      <protection locked="0"/>
    </xf>
    <xf numFmtId="0" fontId="20" fillId="0" borderId="0" xfId="0" applyFont="1" applyFill="1" applyBorder="1" applyAlignment="1" applyProtection="1">
      <alignment vertical="top"/>
      <protection locked="0"/>
    </xf>
    <xf numFmtId="4" fontId="35" fillId="0" borderId="0" xfId="0" applyNumberFormat="1" applyFont="1" applyBorder="1" applyAlignment="1" applyProtection="1">
      <alignment vertical="top"/>
      <protection locked="0"/>
    </xf>
    <xf numFmtId="4" fontId="35" fillId="0" borderId="23" xfId="0" applyNumberFormat="1" applyFont="1" applyBorder="1" applyAlignment="1" applyProtection="1">
      <alignment vertical="top"/>
      <protection locked="0"/>
    </xf>
    <xf numFmtId="0" fontId="9" fillId="0" borderId="10" xfId="0" applyFont="1" applyBorder="1" applyAlignment="1">
      <alignment horizontal="center"/>
    </xf>
    <xf numFmtId="181" fontId="5" fillId="0" borderId="10" xfId="0" applyNumberFormat="1" applyFont="1" applyBorder="1" applyAlignment="1">
      <alignment horizontal="center"/>
    </xf>
    <xf numFmtId="0" fontId="5" fillId="0" borderId="10" xfId="0" applyFont="1" applyBorder="1" applyAlignment="1">
      <alignment horizontal="center"/>
    </xf>
    <xf numFmtId="0" fontId="9" fillId="0" borderId="14" xfId="0" applyFont="1" applyBorder="1" applyAlignment="1">
      <alignment horizontal="right"/>
    </xf>
    <xf numFmtId="0" fontId="5" fillId="0" borderId="15" xfId="0" applyFont="1" applyBorder="1" applyAlignment="1">
      <alignment/>
    </xf>
    <xf numFmtId="0" fontId="9" fillId="0" borderId="14" xfId="0" applyFont="1" applyBorder="1" applyAlignment="1">
      <alignment horizontal="left" vertical="top"/>
    </xf>
    <xf numFmtId="0" fontId="9" fillId="0" borderId="10" xfId="0" applyFont="1" applyBorder="1" applyAlignment="1">
      <alignment horizontal="left"/>
    </xf>
    <xf numFmtId="0" fontId="43" fillId="0" borderId="0" xfId="0" applyFont="1" applyAlignment="1" applyProtection="1">
      <alignment horizontal="left" vertical="center"/>
      <protection/>
    </xf>
    <xf numFmtId="0" fontId="44" fillId="0" borderId="0" xfId="0" applyFont="1" applyAlignment="1" applyProtection="1">
      <alignment horizontal="left" vertical="center"/>
      <protection/>
    </xf>
    <xf numFmtId="0" fontId="9" fillId="0" borderId="24" xfId="0" applyFont="1" applyBorder="1" applyAlignment="1">
      <alignment horizontal="right"/>
    </xf>
    <xf numFmtId="0" fontId="9" fillId="0" borderId="24" xfId="0" applyFont="1" applyBorder="1" applyAlignment="1">
      <alignment/>
    </xf>
    <xf numFmtId="181" fontId="9" fillId="0" borderId="24" xfId="0" applyNumberFormat="1" applyFont="1" applyBorder="1" applyAlignment="1">
      <alignment/>
    </xf>
    <xf numFmtId="0" fontId="9" fillId="34" borderId="25" xfId="0" applyFont="1" applyFill="1" applyBorder="1" applyAlignment="1">
      <alignment horizontal="right"/>
    </xf>
    <xf numFmtId="0" fontId="9" fillId="34" borderId="11" xfId="0" applyFont="1" applyFill="1" applyBorder="1" applyAlignment="1">
      <alignment/>
    </xf>
    <xf numFmtId="0" fontId="9" fillId="34" borderId="21" xfId="0" applyFont="1" applyFill="1" applyBorder="1" applyAlignment="1">
      <alignment/>
    </xf>
    <xf numFmtId="0" fontId="5" fillId="34" borderId="26" xfId="0" applyFont="1" applyFill="1" applyBorder="1" applyAlignment="1">
      <alignment horizontal="left"/>
    </xf>
    <xf numFmtId="0" fontId="5" fillId="34" borderId="27" xfId="0" applyFont="1" applyFill="1" applyBorder="1" applyAlignment="1">
      <alignment horizontal="left"/>
    </xf>
    <xf numFmtId="0" fontId="5" fillId="34" borderId="27" xfId="0" applyFont="1" applyFill="1" applyBorder="1" applyAlignment="1">
      <alignment horizontal="right"/>
    </xf>
    <xf numFmtId="181" fontId="5" fillId="34" borderId="26" xfId="0" applyNumberFormat="1" applyFont="1" applyFill="1" applyBorder="1" applyAlignment="1">
      <alignment horizontal="right"/>
    </xf>
    <xf numFmtId="181" fontId="5" fillId="34" borderId="28" xfId="0" applyNumberFormat="1" applyFont="1" applyFill="1" applyBorder="1" applyAlignment="1">
      <alignment horizontal="right"/>
    </xf>
    <xf numFmtId="0" fontId="5" fillId="34" borderId="15" xfId="0" applyFont="1" applyFill="1" applyBorder="1" applyAlignment="1">
      <alignment/>
    </xf>
    <xf numFmtId="0" fontId="5" fillId="34" borderId="20" xfId="0" applyFont="1" applyFill="1" applyBorder="1" applyAlignment="1">
      <alignment/>
    </xf>
    <xf numFmtId="181" fontId="5" fillId="34" borderId="15" xfId="0" applyNumberFormat="1" applyFont="1" applyFill="1" applyBorder="1" applyAlignment="1">
      <alignment/>
    </xf>
    <xf numFmtId="9" fontId="9" fillId="35" borderId="21" xfId="61" applyFont="1" applyFill="1" applyBorder="1" applyAlignment="1" applyProtection="1">
      <alignment/>
      <protection locked="0"/>
    </xf>
    <xf numFmtId="0" fontId="5" fillId="34" borderId="29" xfId="0" applyFont="1" applyFill="1" applyBorder="1" applyAlignment="1">
      <alignment/>
    </xf>
    <xf numFmtId="0" fontId="5" fillId="34" borderId="30" xfId="0" applyFont="1" applyFill="1" applyBorder="1" applyAlignment="1">
      <alignment horizontal="left"/>
    </xf>
    <xf numFmtId="0" fontId="5" fillId="34" borderId="30" xfId="0" applyFont="1" applyFill="1" applyBorder="1" applyAlignment="1">
      <alignment horizontal="right"/>
    </xf>
    <xf numFmtId="0" fontId="9" fillId="0" borderId="10" xfId="0" applyFont="1" applyBorder="1" applyAlignment="1">
      <alignment horizontal="left" vertical="top"/>
    </xf>
    <xf numFmtId="181" fontId="9" fillId="0" borderId="10" xfId="0" applyNumberFormat="1" applyFont="1" applyBorder="1" applyAlignment="1">
      <alignment horizontal="left"/>
    </xf>
    <xf numFmtId="0" fontId="9" fillId="0" borderId="17" xfId="0" applyFont="1" applyBorder="1" applyAlignment="1">
      <alignment/>
    </xf>
    <xf numFmtId="181" fontId="5" fillId="34" borderId="31" xfId="0" applyNumberFormat="1" applyFont="1" applyFill="1" applyBorder="1" applyAlignment="1">
      <alignment/>
    </xf>
    <xf numFmtId="0" fontId="9" fillId="0" borderId="17" xfId="0" applyFont="1" applyBorder="1" applyAlignment="1">
      <alignment horizontal="right"/>
    </xf>
    <xf numFmtId="0" fontId="5" fillId="34" borderId="32" xfId="0" applyFont="1" applyFill="1" applyBorder="1" applyAlignment="1">
      <alignment horizontal="left"/>
    </xf>
    <xf numFmtId="181" fontId="5" fillId="34" borderId="33" xfId="0" applyNumberFormat="1" applyFont="1" applyFill="1" applyBorder="1" applyAlignment="1">
      <alignment horizontal="right"/>
    </xf>
    <xf numFmtId="0" fontId="9" fillId="34" borderId="13" xfId="0" applyFont="1" applyFill="1" applyBorder="1" applyAlignment="1">
      <alignment horizontal="right"/>
    </xf>
    <xf numFmtId="0" fontId="9" fillId="34" borderId="34" xfId="0" applyFont="1" applyFill="1" applyBorder="1" applyAlignment="1">
      <alignment horizontal="right"/>
    </xf>
    <xf numFmtId="0" fontId="9" fillId="0" borderId="0" xfId="0" applyFont="1" applyFill="1" applyAlignment="1">
      <alignment/>
    </xf>
    <xf numFmtId="4" fontId="9" fillId="0" borderId="0" xfId="0" applyNumberFormat="1" applyFont="1" applyFill="1" applyAlignment="1">
      <alignment/>
    </xf>
    <xf numFmtId="0" fontId="5" fillId="0" borderId="0" xfId="0" applyFont="1" applyFill="1" applyAlignment="1">
      <alignment/>
    </xf>
    <xf numFmtId="0" fontId="22" fillId="0" borderId="0" xfId="0" applyFont="1" applyFill="1" applyAlignment="1">
      <alignment/>
    </xf>
    <xf numFmtId="4" fontId="9" fillId="0" borderId="10" xfId="0" applyNumberFormat="1" applyFont="1" applyBorder="1" applyAlignment="1">
      <alignment/>
    </xf>
    <xf numFmtId="0" fontId="9" fillId="0" borderId="10" xfId="0" applyFont="1" applyFill="1" applyBorder="1" applyAlignment="1">
      <alignment horizontal="right"/>
    </xf>
    <xf numFmtId="0" fontId="9" fillId="0" borderId="10" xfId="0" applyFont="1" applyFill="1" applyBorder="1" applyAlignment="1">
      <alignment/>
    </xf>
    <xf numFmtId="181" fontId="9" fillId="0" borderId="10" xfId="0" applyNumberFormat="1" applyFont="1" applyFill="1" applyBorder="1" applyAlignment="1">
      <alignment/>
    </xf>
    <xf numFmtId="0" fontId="5" fillId="0" borderId="10" xfId="0" applyFont="1" applyFill="1" applyBorder="1" applyAlignment="1">
      <alignment/>
    </xf>
    <xf numFmtId="0" fontId="10" fillId="34" borderId="11" xfId="0" applyFont="1" applyFill="1" applyBorder="1" applyAlignment="1">
      <alignment/>
    </xf>
    <xf numFmtId="181" fontId="9" fillId="34" borderId="21" xfId="0" applyNumberFormat="1" applyFont="1" applyFill="1" applyBorder="1" applyAlignment="1">
      <alignment/>
    </xf>
    <xf numFmtId="0" fontId="5" fillId="34" borderId="35" xfId="0" applyFont="1" applyFill="1" applyBorder="1" applyAlignment="1">
      <alignment/>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right"/>
      <protection/>
    </xf>
    <xf numFmtId="4" fontId="2" fillId="0" borderId="0" xfId="0" applyNumberFormat="1" applyFont="1" applyFill="1" applyBorder="1" applyAlignment="1" applyProtection="1">
      <alignment horizontal="right"/>
      <protection/>
    </xf>
    <xf numFmtId="4" fontId="2" fillId="0" borderId="0" xfId="42" applyNumberFormat="1" applyFont="1" applyFill="1" applyBorder="1" applyAlignment="1" applyProtection="1">
      <alignment horizontal="right"/>
      <protection/>
    </xf>
    <xf numFmtId="181" fontId="2" fillId="0" borderId="0" xfId="42"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left"/>
      <protection/>
    </xf>
    <xf numFmtId="4" fontId="2" fillId="0" borderId="0" xfId="42" applyNumberFormat="1" applyFont="1" applyFill="1" applyBorder="1" applyAlignment="1" applyProtection="1">
      <alignment horizontal="left"/>
      <protection/>
    </xf>
    <xf numFmtId="181" fontId="2" fillId="0" borderId="0" xfId="42" applyNumberFormat="1" applyFont="1" applyFill="1" applyBorder="1" applyAlignment="1" applyProtection="1">
      <alignment horizontal="left"/>
      <protection/>
    </xf>
    <xf numFmtId="4" fontId="3" fillId="0" borderId="10" xfId="0" applyNumberFormat="1" applyFont="1" applyBorder="1" applyAlignment="1" applyProtection="1">
      <alignment horizontal="center" vertical="center" wrapText="1"/>
      <protection/>
    </xf>
    <xf numFmtId="4" fontId="3" fillId="0" borderId="10" xfId="0" applyNumberFormat="1" applyFont="1" applyBorder="1" applyAlignment="1" applyProtection="1">
      <alignment horizontal="right" vertical="center"/>
      <protection/>
    </xf>
    <xf numFmtId="0" fontId="3" fillId="0" borderId="10" xfId="0" applyFont="1" applyBorder="1" applyAlignment="1" applyProtection="1">
      <alignment/>
      <protection/>
    </xf>
    <xf numFmtId="4" fontId="2" fillId="0" borderId="10" xfId="42" applyNumberFormat="1" applyFont="1" applyBorder="1" applyAlignment="1" applyProtection="1">
      <alignment/>
      <protection/>
    </xf>
    <xf numFmtId="181" fontId="2" fillId="0" borderId="10" xfId="42" applyNumberFormat="1" applyFont="1" applyBorder="1" applyAlignment="1" applyProtection="1">
      <alignment/>
      <protection/>
    </xf>
    <xf numFmtId="0" fontId="9" fillId="0" borderId="14" xfId="0" applyFont="1" applyBorder="1" applyAlignment="1" applyProtection="1">
      <alignment horizontal="right"/>
      <protection/>
    </xf>
    <xf numFmtId="0" fontId="9" fillId="0" borderId="0" xfId="0" applyFont="1" applyBorder="1" applyAlignment="1" applyProtection="1">
      <alignment/>
      <protection/>
    </xf>
    <xf numFmtId="181" fontId="9" fillId="0" borderId="0" xfId="0" applyNumberFormat="1" applyFont="1" applyBorder="1" applyAlignment="1" applyProtection="1">
      <alignment/>
      <protection/>
    </xf>
    <xf numFmtId="0" fontId="9" fillId="0" borderId="19" xfId="0" applyFont="1" applyBorder="1" applyAlignment="1" applyProtection="1">
      <alignment/>
      <protection/>
    </xf>
    <xf numFmtId="0" fontId="2" fillId="0" borderId="14" xfId="0" applyFont="1" applyBorder="1" applyAlignment="1" applyProtection="1">
      <alignment horizontal="right" vertical="top"/>
      <protection/>
    </xf>
    <xf numFmtId="4" fontId="2" fillId="0" borderId="0" xfId="0" applyNumberFormat="1" applyFont="1" applyBorder="1" applyAlignment="1" applyProtection="1">
      <alignment vertical="top" wrapText="1"/>
      <protection/>
    </xf>
    <xf numFmtId="181" fontId="2" fillId="0" borderId="19" xfId="0" applyNumberFormat="1" applyFont="1" applyBorder="1" applyAlignment="1" applyProtection="1">
      <alignment horizontal="right"/>
      <protection/>
    </xf>
    <xf numFmtId="0" fontId="3" fillId="36" borderId="25" xfId="55" applyFont="1" applyFill="1" applyBorder="1" applyAlignment="1" applyProtection="1">
      <alignment horizontal="center" vertical="center"/>
      <protection/>
    </xf>
    <xf numFmtId="4" fontId="2" fillId="36" borderId="11" xfId="42" applyNumberFormat="1" applyFont="1" applyFill="1" applyBorder="1" applyAlignment="1" applyProtection="1">
      <alignment/>
      <protection/>
    </xf>
    <xf numFmtId="181" fontId="3" fillId="36" borderId="21" xfId="42" applyNumberFormat="1" applyFont="1" applyFill="1" applyBorder="1" applyAlignment="1" applyProtection="1">
      <alignment/>
      <protection/>
    </xf>
    <xf numFmtId="181" fontId="2" fillId="0" borderId="0" xfId="55" applyNumberFormat="1" applyFont="1" applyFill="1" applyBorder="1" applyAlignment="1" applyProtection="1">
      <alignment horizontal="right"/>
      <protection/>
    </xf>
    <xf numFmtId="4" fontId="3" fillId="0" borderId="10" xfId="55" applyNumberFormat="1" applyFont="1" applyFill="1" applyBorder="1" applyAlignment="1" applyProtection="1">
      <alignment horizontal="center" vertical="center"/>
      <protection/>
    </xf>
    <xf numFmtId="4" fontId="3" fillId="0" borderId="10" xfId="55" applyNumberFormat="1" applyFont="1" applyFill="1" applyBorder="1" applyAlignment="1" applyProtection="1">
      <alignment horizontal="center" vertical="center" wrapText="1"/>
      <protection/>
    </xf>
    <xf numFmtId="4" fontId="3" fillId="0" borderId="10" xfId="65" applyNumberFormat="1" applyFont="1" applyFill="1" applyBorder="1" applyAlignment="1" applyProtection="1">
      <alignment horizontal="right" vertical="center"/>
      <protection/>
    </xf>
    <xf numFmtId="0" fontId="2" fillId="0" borderId="10" xfId="55" applyFont="1" applyBorder="1" applyAlignment="1" applyProtection="1">
      <alignment vertical="top" wrapText="1"/>
      <protection/>
    </xf>
    <xf numFmtId="0" fontId="3" fillId="36" borderId="12" xfId="55" applyFont="1" applyFill="1" applyBorder="1" applyAlignment="1" applyProtection="1">
      <alignment vertical="center" wrapText="1"/>
      <protection/>
    </xf>
    <xf numFmtId="4" fontId="3" fillId="36" borderId="12" xfId="55" applyNumberFormat="1" applyFont="1" applyFill="1" applyBorder="1" applyAlignment="1" applyProtection="1">
      <alignment horizontal="center" vertical="center"/>
      <protection/>
    </xf>
    <xf numFmtId="180" fontId="3" fillId="36" borderId="12" xfId="55" applyNumberFormat="1" applyFont="1" applyFill="1" applyBorder="1" applyAlignment="1" applyProtection="1">
      <alignment horizontal="right" vertical="center"/>
      <protection/>
    </xf>
    <xf numFmtId="0" fontId="2" fillId="0" borderId="14" xfId="55" applyFont="1" applyBorder="1" applyAlignment="1" applyProtection="1">
      <alignment horizontal="center" vertical="top"/>
      <protection/>
    </xf>
    <xf numFmtId="0" fontId="4" fillId="0" borderId="0" xfId="55" applyFont="1" applyBorder="1" applyProtection="1">
      <alignment/>
      <protection/>
    </xf>
    <xf numFmtId="4" fontId="6" fillId="0" borderId="0" xfId="55" applyNumberFormat="1" applyFont="1" applyBorder="1" applyProtection="1">
      <alignment/>
      <protection/>
    </xf>
    <xf numFmtId="0" fontId="3" fillId="36" borderId="26" xfId="55" applyFont="1" applyFill="1" applyBorder="1" applyAlignment="1" applyProtection="1">
      <alignment horizontal="center" vertical="center"/>
      <protection/>
    </xf>
    <xf numFmtId="180" fontId="2" fillId="0" borderId="19" xfId="55" applyNumberFormat="1" applyFont="1" applyBorder="1" applyAlignment="1" applyProtection="1">
      <alignment horizontal="right"/>
      <protection/>
    </xf>
    <xf numFmtId="180" fontId="3" fillId="36" borderId="27" xfId="55" applyNumberFormat="1" applyFont="1" applyFill="1" applyBorder="1" applyAlignment="1" applyProtection="1">
      <alignment horizontal="right" vertical="center"/>
      <protection/>
    </xf>
    <xf numFmtId="0" fontId="4" fillId="0" borderId="10" xfId="0" applyFont="1" applyBorder="1" applyAlignment="1" applyProtection="1">
      <alignment horizontal="center" vertical="top"/>
      <protection/>
    </xf>
    <xf numFmtId="4" fontId="12" fillId="0" borderId="10" xfId="0" applyNumberFormat="1" applyFont="1" applyFill="1" applyBorder="1" applyAlignment="1" applyProtection="1">
      <alignment horizontal="left" vertical="top" wrapText="1"/>
      <protection/>
    </xf>
    <xf numFmtId="4" fontId="6" fillId="0" borderId="10" xfId="42" applyNumberFormat="1" applyFont="1" applyFill="1" applyBorder="1" applyAlignment="1" applyProtection="1">
      <alignment horizontal="right" wrapText="1"/>
      <protection/>
    </xf>
    <xf numFmtId="0" fontId="12" fillId="0" borderId="10" xfId="0" applyFont="1" applyFill="1" applyBorder="1" applyAlignment="1" applyProtection="1">
      <alignment horizontal="right" vertical="top" wrapText="1"/>
      <protection/>
    </xf>
    <xf numFmtId="3" fontId="12" fillId="0" borderId="10" xfId="0" applyNumberFormat="1" applyFont="1" applyFill="1" applyBorder="1" applyAlignment="1" applyProtection="1">
      <alignment horizontal="right" wrapText="1"/>
      <protection/>
    </xf>
    <xf numFmtId="4" fontId="12" fillId="0" borderId="10" xfId="0" applyNumberFormat="1" applyFont="1" applyFill="1" applyBorder="1" applyAlignment="1" applyProtection="1">
      <alignment horizontal="right" wrapText="1"/>
      <protection/>
    </xf>
    <xf numFmtId="183" fontId="3" fillId="0" borderId="10" xfId="0" applyNumberFormat="1" applyFont="1" applyFill="1" applyBorder="1" applyAlignment="1" applyProtection="1">
      <alignment horizontal="right" wrapText="1"/>
      <protection locked="0"/>
    </xf>
    <xf numFmtId="181" fontId="3" fillId="0" borderId="10" xfId="0" applyNumberFormat="1" applyFont="1" applyFill="1" applyBorder="1" applyAlignment="1" applyProtection="1">
      <alignment horizontal="right" wrapText="1"/>
      <protection/>
    </xf>
    <xf numFmtId="0" fontId="3" fillId="0" borderId="10" xfId="0" applyFont="1" applyBorder="1" applyAlignment="1" applyProtection="1">
      <alignment/>
      <protection/>
    </xf>
    <xf numFmtId="9" fontId="2" fillId="0" borderId="10" xfId="0" applyNumberFormat="1" applyFont="1" applyBorder="1" applyAlignment="1" applyProtection="1">
      <alignment horizontal="right"/>
      <protection/>
    </xf>
    <xf numFmtId="181" fontId="3" fillId="0" borderId="10" xfId="0" applyNumberFormat="1" applyFont="1" applyBorder="1" applyAlignment="1" applyProtection="1">
      <alignment horizontal="right"/>
      <protection/>
    </xf>
    <xf numFmtId="181" fontId="6" fillId="0" borderId="10" xfId="0" applyNumberFormat="1" applyFont="1" applyBorder="1" applyAlignment="1" applyProtection="1">
      <alignment horizontal="right"/>
      <protection locked="0"/>
    </xf>
    <xf numFmtId="181" fontId="6" fillId="0" borderId="10" xfId="0" applyNumberFormat="1" applyFont="1" applyBorder="1" applyAlignment="1" applyProtection="1">
      <alignment horizontal="right"/>
      <protection/>
    </xf>
    <xf numFmtId="4" fontId="2" fillId="0" borderId="10" xfId="42" applyNumberFormat="1" applyFont="1" applyBorder="1" applyAlignment="1" applyProtection="1">
      <alignment horizontal="right"/>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right"/>
      <protection/>
    </xf>
    <xf numFmtId="4" fontId="3" fillId="0" borderId="10" xfId="42" applyNumberFormat="1" applyFont="1" applyBorder="1" applyAlignment="1" applyProtection="1">
      <alignment horizontal="right"/>
      <protection/>
    </xf>
    <xf numFmtId="181" fontId="3" fillId="0" borderId="10" xfId="42" applyNumberFormat="1" applyFont="1" applyBorder="1" applyAlignment="1" applyProtection="1">
      <alignment horizontal="right"/>
      <protection/>
    </xf>
    <xf numFmtId="181" fontId="3" fillId="0" borderId="10" xfId="42" applyNumberFormat="1" applyFont="1" applyBorder="1" applyAlignment="1" applyProtection="1">
      <alignment/>
      <protection/>
    </xf>
    <xf numFmtId="4" fontId="3" fillId="0" borderId="10" xfId="0" applyNumberFormat="1" applyFont="1" applyBorder="1" applyAlignment="1" applyProtection="1">
      <alignment vertical="top"/>
      <protection/>
    </xf>
    <xf numFmtId="181" fontId="2" fillId="0" borderId="10" xfId="42" applyNumberFormat="1" applyFont="1" applyBorder="1" applyAlignment="1" applyProtection="1">
      <alignment/>
      <protection/>
    </xf>
    <xf numFmtId="0" fontId="6" fillId="0" borderId="10" xfId="0" applyFont="1" applyFill="1" applyBorder="1" applyAlignment="1" applyProtection="1">
      <alignment vertical="top"/>
      <protection/>
    </xf>
    <xf numFmtId="0" fontId="11" fillId="0" borderId="10" xfId="0" applyFont="1" applyFill="1" applyBorder="1" applyAlignment="1" applyProtection="1">
      <alignment/>
      <protection/>
    </xf>
    <xf numFmtId="0" fontId="11" fillId="0" borderId="10" xfId="0" applyFont="1" applyFill="1" applyBorder="1" applyAlignment="1" applyProtection="1">
      <alignment horizontal="right"/>
      <protection/>
    </xf>
    <xf numFmtId="4" fontId="11" fillId="0" borderId="10" xfId="0" applyNumberFormat="1" applyFont="1" applyFill="1" applyBorder="1" applyAlignment="1" applyProtection="1">
      <alignment horizontal="right"/>
      <protection/>
    </xf>
    <xf numFmtId="181" fontId="11" fillId="0" borderId="10" xfId="0" applyNumberFormat="1" applyFont="1" applyFill="1" applyBorder="1" applyAlignment="1" applyProtection="1">
      <alignment/>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right" wrapText="1"/>
      <protection/>
    </xf>
    <xf numFmtId="4" fontId="3" fillId="0" borderId="10" xfId="0" applyNumberFormat="1" applyFont="1" applyFill="1" applyBorder="1" applyAlignment="1" applyProtection="1">
      <alignment horizontal="right"/>
      <protection/>
    </xf>
    <xf numFmtId="181" fontId="3" fillId="0" borderId="10" xfId="0" applyNumberFormat="1" applyFont="1" applyFill="1" applyBorder="1" applyAlignment="1" applyProtection="1">
      <alignment/>
      <protection/>
    </xf>
    <xf numFmtId="0" fontId="6" fillId="0" borderId="10" xfId="0" applyFont="1" applyBorder="1" applyAlignment="1" applyProtection="1">
      <alignment horizontal="center" vertical="top"/>
      <protection/>
    </xf>
    <xf numFmtId="4" fontId="6" fillId="0" borderId="10" xfId="0" applyNumberFormat="1" applyFont="1" applyBorder="1" applyAlignment="1" applyProtection="1">
      <alignment/>
      <protection/>
    </xf>
    <xf numFmtId="181" fontId="6" fillId="0" borderId="10" xfId="0" applyNumberFormat="1" applyFont="1" applyBorder="1" applyAlignment="1" applyProtection="1">
      <alignment/>
      <protection/>
    </xf>
    <xf numFmtId="0" fontId="4" fillId="36" borderId="10" xfId="0" applyFont="1" applyFill="1" applyBorder="1" applyAlignment="1" applyProtection="1">
      <alignment horizontal="center" vertical="top"/>
      <protection/>
    </xf>
    <xf numFmtId="0" fontId="23" fillId="36" borderId="10" xfId="0" applyFont="1" applyFill="1" applyBorder="1" applyAlignment="1" applyProtection="1">
      <alignment/>
      <protection/>
    </xf>
    <xf numFmtId="0" fontId="4" fillId="36" borderId="10" xfId="0" applyFont="1" applyFill="1" applyBorder="1" applyAlignment="1" applyProtection="1">
      <alignment/>
      <protection/>
    </xf>
    <xf numFmtId="0" fontId="4" fillId="36" borderId="10" xfId="0" applyFont="1" applyFill="1" applyBorder="1" applyAlignment="1" applyProtection="1">
      <alignment horizontal="right"/>
      <protection/>
    </xf>
    <xf numFmtId="0" fontId="12" fillId="36" borderId="32" xfId="0" applyFont="1" applyFill="1" applyBorder="1" applyAlignment="1" applyProtection="1">
      <alignment/>
      <protection/>
    </xf>
    <xf numFmtId="0" fontId="12" fillId="36" borderId="30" xfId="0" applyFont="1" applyFill="1" applyBorder="1" applyAlignment="1" applyProtection="1">
      <alignment/>
      <protection/>
    </xf>
    <xf numFmtId="0" fontId="12" fillId="36" borderId="30" xfId="0" applyFont="1" applyFill="1" applyBorder="1" applyAlignment="1" applyProtection="1">
      <alignment horizontal="center"/>
      <protection/>
    </xf>
    <xf numFmtId="4" fontId="12" fillId="36" borderId="30" xfId="0" applyNumberFormat="1" applyFont="1" applyFill="1" applyBorder="1" applyAlignment="1" applyProtection="1">
      <alignment horizontal="right"/>
      <protection/>
    </xf>
    <xf numFmtId="181" fontId="12" fillId="36" borderId="27" xfId="0" applyNumberFormat="1" applyFont="1" applyFill="1" applyBorder="1" applyAlignment="1" applyProtection="1">
      <alignment/>
      <protection/>
    </xf>
    <xf numFmtId="0" fontId="2" fillId="0" borderId="10" xfId="0" applyFont="1" applyFill="1" applyBorder="1" applyAlignment="1" applyProtection="1">
      <alignment horizontal="right" vertical="top"/>
      <protection/>
    </xf>
    <xf numFmtId="1" fontId="2" fillId="0" borderId="10" xfId="0" applyNumberFormat="1" applyFont="1" applyFill="1" applyBorder="1" applyAlignment="1" applyProtection="1">
      <alignment vertical="top" wrapText="1"/>
      <protection/>
    </xf>
    <xf numFmtId="0" fontId="12" fillId="36" borderId="26" xfId="0" applyFont="1" applyFill="1" applyBorder="1" applyAlignment="1" applyProtection="1">
      <alignment/>
      <protection/>
    </xf>
    <xf numFmtId="0" fontId="12" fillId="36" borderId="12" xfId="0" applyFont="1" applyFill="1" applyBorder="1" applyAlignment="1" applyProtection="1">
      <alignment/>
      <protection/>
    </xf>
    <xf numFmtId="0" fontId="12" fillId="36" borderId="12" xfId="0" applyFont="1" applyFill="1" applyBorder="1" applyAlignment="1" applyProtection="1">
      <alignment horizontal="center"/>
      <protection/>
    </xf>
    <xf numFmtId="4" fontId="12" fillId="36" borderId="12" xfId="0" applyNumberFormat="1" applyFont="1" applyFill="1" applyBorder="1" applyAlignment="1" applyProtection="1">
      <alignment horizontal="right"/>
      <protection/>
    </xf>
    <xf numFmtId="4" fontId="2" fillId="0" borderId="0" xfId="42" applyNumberFormat="1" applyFont="1" applyFill="1" applyBorder="1" applyAlignment="1" applyProtection="1">
      <alignment horizontal="right"/>
      <protection locked="0"/>
    </xf>
    <xf numFmtId="0" fontId="4" fillId="0" borderId="10" xfId="55" applyFont="1" applyBorder="1" applyAlignment="1" applyProtection="1">
      <alignment horizontal="center"/>
      <protection/>
    </xf>
    <xf numFmtId="4" fontId="4" fillId="0" borderId="10" xfId="55" applyNumberFormat="1" applyFont="1" applyBorder="1" applyAlignment="1" applyProtection="1">
      <alignment horizontal="right"/>
      <protection/>
    </xf>
    <xf numFmtId="181" fontId="4" fillId="0" borderId="10" xfId="55" applyNumberFormat="1" applyFont="1" applyBorder="1" applyAlignment="1" applyProtection="1">
      <alignment horizontal="right"/>
      <protection/>
    </xf>
    <xf numFmtId="0" fontId="2" fillId="0" borderId="10" xfId="0" applyFont="1" applyFill="1" applyBorder="1" applyAlignment="1" applyProtection="1">
      <alignment horizontal="left" vertical="top"/>
      <protection/>
    </xf>
    <xf numFmtId="4" fontId="2" fillId="0" borderId="10" xfId="42" applyNumberFormat="1" applyFont="1" applyFill="1" applyBorder="1" applyAlignment="1" applyProtection="1">
      <alignment/>
      <protection locked="0"/>
    </xf>
    <xf numFmtId="181" fontId="3" fillId="0" borderId="10" xfId="42" applyNumberFormat="1" applyFont="1" applyFill="1" applyBorder="1" applyAlignment="1" applyProtection="1">
      <alignment/>
      <protection/>
    </xf>
    <xf numFmtId="0" fontId="15" fillId="0" borderId="13" xfId="55" applyFont="1" applyBorder="1" applyAlignment="1" applyProtection="1">
      <alignment horizontal="center" vertical="center"/>
      <protection/>
    </xf>
    <xf numFmtId="0" fontId="2" fillId="0" borderId="25" xfId="0" applyFont="1" applyBorder="1" applyAlignment="1" applyProtection="1">
      <alignment horizontal="right" vertical="top"/>
      <protection/>
    </xf>
    <xf numFmtId="0" fontId="2" fillId="0" borderId="11" xfId="0" applyFont="1" applyBorder="1" applyAlignment="1" applyProtection="1">
      <alignment horizontal="right"/>
      <protection/>
    </xf>
    <xf numFmtId="4" fontId="2" fillId="0" borderId="11" xfId="0" applyNumberFormat="1" applyFont="1" applyBorder="1" applyAlignment="1" applyProtection="1">
      <alignment/>
      <protection/>
    </xf>
    <xf numFmtId="4" fontId="2" fillId="0" borderId="11" xfId="42" applyNumberFormat="1" applyFont="1" applyBorder="1" applyAlignment="1" applyProtection="1">
      <alignment/>
      <protection/>
    </xf>
    <xf numFmtId="181" fontId="2" fillId="0" borderId="21" xfId="42" applyNumberFormat="1" applyFont="1" applyBorder="1" applyAlignment="1" applyProtection="1">
      <alignment/>
      <protection/>
    </xf>
    <xf numFmtId="0" fontId="12" fillId="36" borderId="30" xfId="0" applyFont="1" applyFill="1" applyBorder="1" applyAlignment="1" applyProtection="1">
      <alignment/>
      <protection/>
    </xf>
    <xf numFmtId="181" fontId="12" fillId="36" borderId="33" xfId="0" applyNumberFormat="1" applyFont="1" applyFill="1" applyBorder="1" applyAlignment="1" applyProtection="1">
      <alignment/>
      <protection/>
    </xf>
    <xf numFmtId="4" fontId="2" fillId="0" borderId="10" xfId="42" applyNumberFormat="1" applyFont="1" applyBorder="1" applyAlignment="1" applyProtection="1">
      <alignment horizontal="left"/>
      <protection/>
    </xf>
    <xf numFmtId="0" fontId="29" fillId="0" borderId="0" xfId="0" applyNumberFormat="1" applyFont="1" applyFill="1" applyBorder="1" applyAlignment="1" applyProtection="1">
      <alignment vertical="top"/>
      <protection/>
    </xf>
    <xf numFmtId="0" fontId="26" fillId="0"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top"/>
      <protection/>
    </xf>
    <xf numFmtId="0" fontId="26" fillId="0" borderId="0" xfId="0" applyFont="1" applyFill="1" applyBorder="1" applyAlignment="1" applyProtection="1">
      <alignment horizontal="center" vertical="top"/>
      <protection/>
    </xf>
    <xf numFmtId="0" fontId="26" fillId="0" borderId="0" xfId="0" applyNumberFormat="1" applyFont="1" applyFill="1" applyBorder="1" applyAlignment="1" applyProtection="1">
      <alignment vertical="top"/>
      <protection/>
    </xf>
    <xf numFmtId="0" fontId="27" fillId="37" borderId="10" xfId="0" applyFont="1" applyFill="1" applyBorder="1" applyAlignment="1">
      <alignment horizontal="center" vertical="top" wrapText="1"/>
    </xf>
    <xf numFmtId="0" fontId="32" fillId="33" borderId="10" xfId="0" applyFont="1" applyFill="1" applyBorder="1" applyAlignment="1" applyProtection="1">
      <alignment horizontal="center" vertical="top"/>
      <protection/>
    </xf>
    <xf numFmtId="0" fontId="4" fillId="36" borderId="11" xfId="55" applyFont="1" applyFill="1" applyBorder="1" applyAlignment="1" applyProtection="1">
      <alignment vertical="center"/>
      <protection/>
    </xf>
    <xf numFmtId="0" fontId="22" fillId="36" borderId="11" xfId="55" applyFont="1" applyFill="1" applyBorder="1" applyAlignment="1" applyProtection="1">
      <alignment vertical="center"/>
      <protection/>
    </xf>
    <xf numFmtId="0" fontId="4" fillId="36" borderId="21" xfId="55" applyFont="1" applyFill="1" applyBorder="1" applyAlignment="1" applyProtection="1">
      <alignment vertical="center"/>
      <protection/>
    </xf>
    <xf numFmtId="1" fontId="26" fillId="0" borderId="13" xfId="0" applyNumberFormat="1" applyFont="1" applyBorder="1" applyAlignment="1" applyProtection="1">
      <alignment horizontal="left" vertical="top"/>
      <protection/>
    </xf>
    <xf numFmtId="0" fontId="26" fillId="0" borderId="22" xfId="0" applyFont="1" applyBorder="1" applyAlignment="1" applyProtection="1">
      <alignment horizontal="right" vertical="top"/>
      <protection/>
    </xf>
    <xf numFmtId="0" fontId="26" fillId="0" borderId="22" xfId="0" applyFont="1" applyBorder="1" applyAlignment="1" applyProtection="1">
      <alignment horizontal="left" vertical="top"/>
      <protection/>
    </xf>
    <xf numFmtId="0" fontId="26" fillId="0" borderId="22" xfId="0" applyFont="1" applyBorder="1" applyAlignment="1" applyProtection="1">
      <alignment vertical="top"/>
      <protection/>
    </xf>
    <xf numFmtId="0" fontId="26" fillId="0" borderId="22" xfId="0" applyFont="1" applyBorder="1" applyAlignment="1" applyProtection="1">
      <alignment horizontal="center" vertical="top"/>
      <protection/>
    </xf>
    <xf numFmtId="0" fontId="26" fillId="0" borderId="22" xfId="0" applyNumberFormat="1" applyFont="1" applyBorder="1" applyAlignment="1" applyProtection="1">
      <alignment vertical="top"/>
      <protection/>
    </xf>
    <xf numFmtId="0" fontId="26" fillId="0" borderId="18" xfId="0" applyNumberFormat="1" applyFont="1" applyBorder="1" applyAlignment="1" applyProtection="1">
      <alignment vertical="top"/>
      <protection/>
    </xf>
    <xf numFmtId="0" fontId="27" fillId="0" borderId="14" xfId="0" applyNumberFormat="1" applyFont="1" applyBorder="1" applyAlignment="1" applyProtection="1">
      <alignment/>
      <protection/>
    </xf>
    <xf numFmtId="0" fontId="26" fillId="0" borderId="19" xfId="0" applyNumberFormat="1" applyFont="1" applyBorder="1" applyAlignment="1" applyProtection="1">
      <alignment vertical="top"/>
      <protection/>
    </xf>
    <xf numFmtId="0" fontId="29" fillId="0" borderId="14" xfId="0" applyFont="1" applyBorder="1" applyAlignment="1" applyProtection="1">
      <alignment horizontal="center" vertical="top"/>
      <protection/>
    </xf>
    <xf numFmtId="0" fontId="29" fillId="0" borderId="19" xfId="0" applyNumberFormat="1" applyFont="1" applyBorder="1" applyAlignment="1" applyProtection="1">
      <alignment vertical="top"/>
      <protection/>
    </xf>
    <xf numFmtId="0" fontId="33" fillId="0" borderId="19" xfId="0" applyFont="1" applyFill="1" applyBorder="1" applyAlignment="1" applyProtection="1">
      <alignment vertical="top"/>
      <protection/>
    </xf>
    <xf numFmtId="0" fontId="29" fillId="0" borderId="14" xfId="0" applyFont="1" applyFill="1" applyBorder="1" applyAlignment="1" applyProtection="1">
      <alignment horizontal="center" vertical="top"/>
      <protection/>
    </xf>
    <xf numFmtId="0" fontId="27" fillId="0" borderId="14" xfId="0" applyNumberFormat="1" applyFont="1" applyFill="1" applyBorder="1" applyAlignment="1" applyProtection="1">
      <alignment/>
      <protection/>
    </xf>
    <xf numFmtId="0" fontId="29" fillId="0" borderId="0" xfId="0" applyFont="1" applyBorder="1" applyAlignment="1" applyProtection="1">
      <alignment horizontal="left" wrapText="1"/>
      <protection/>
    </xf>
    <xf numFmtId="0" fontId="27" fillId="0" borderId="19" xfId="0" applyFont="1" applyFill="1" applyBorder="1" applyAlignment="1" applyProtection="1">
      <alignment vertical="top"/>
      <protection/>
    </xf>
    <xf numFmtId="0" fontId="27" fillId="0" borderId="14" xfId="0" applyNumberFormat="1" applyFont="1" applyBorder="1" applyAlignment="1" applyProtection="1">
      <alignment vertical="top"/>
      <protection/>
    </xf>
    <xf numFmtId="0" fontId="32" fillId="0" borderId="19" xfId="0" applyNumberFormat="1" applyFont="1" applyBorder="1" applyAlignment="1" applyProtection="1">
      <alignment vertical="top"/>
      <protection/>
    </xf>
    <xf numFmtId="0" fontId="20" fillId="0" borderId="34" xfId="0" applyFont="1" applyBorder="1" applyAlignment="1" applyProtection="1">
      <alignment vertical="top"/>
      <protection/>
    </xf>
    <xf numFmtId="0" fontId="20" fillId="0" borderId="23" xfId="0" applyFont="1" applyBorder="1" applyAlignment="1" applyProtection="1">
      <alignment vertical="top"/>
      <protection/>
    </xf>
    <xf numFmtId="0" fontId="29" fillId="0" borderId="23" xfId="0" applyNumberFormat="1" applyFont="1" applyBorder="1" applyAlignment="1" applyProtection="1">
      <alignment vertical="top" wrapText="1"/>
      <protection/>
    </xf>
    <xf numFmtId="0" fontId="29" fillId="0" borderId="23" xfId="0" applyNumberFormat="1" applyFont="1" applyBorder="1" applyAlignment="1" applyProtection="1">
      <alignment vertical="top"/>
      <protection/>
    </xf>
    <xf numFmtId="0" fontId="27" fillId="0" borderId="36" xfId="0" applyNumberFormat="1" applyFont="1" applyBorder="1" applyAlignment="1" applyProtection="1">
      <alignment vertical="top"/>
      <protection/>
    </xf>
    <xf numFmtId="0" fontId="29" fillId="0" borderId="13" xfId="0" applyFont="1" applyBorder="1" applyAlignment="1" applyProtection="1">
      <alignment horizontal="right" vertical="top"/>
      <protection/>
    </xf>
    <xf numFmtId="0" fontId="29" fillId="0" borderId="14" xfId="0" applyFont="1" applyBorder="1" applyAlignment="1" applyProtection="1">
      <alignment horizontal="right" vertical="top"/>
      <protection/>
    </xf>
    <xf numFmtId="0" fontId="29" fillId="0" borderId="34" xfId="0" applyFont="1" applyBorder="1" applyAlignment="1" applyProtection="1">
      <alignment horizontal="right" vertical="top"/>
      <protection/>
    </xf>
    <xf numFmtId="4" fontId="35" fillId="0" borderId="23" xfId="0" applyNumberFormat="1" applyFont="1" applyFill="1" applyBorder="1" applyAlignment="1" applyProtection="1">
      <alignment horizontal="center" vertical="top"/>
      <protection locked="0"/>
    </xf>
    <xf numFmtId="4" fontId="35" fillId="0" borderId="23" xfId="0" applyNumberFormat="1" applyFont="1" applyFill="1" applyBorder="1" applyAlignment="1" applyProtection="1">
      <alignment horizontal="center" vertical="top"/>
      <protection/>
    </xf>
    <xf numFmtId="0" fontId="28" fillId="36" borderId="12" xfId="0" applyFont="1" applyFill="1" applyBorder="1" applyAlignment="1" applyProtection="1">
      <alignment horizontal="left" vertical="top"/>
      <protection/>
    </xf>
    <xf numFmtId="0" fontId="28" fillId="36" borderId="12" xfId="0" applyFont="1" applyFill="1" applyBorder="1" applyAlignment="1" applyProtection="1">
      <alignment vertical="top" wrapText="1"/>
      <protection/>
    </xf>
    <xf numFmtId="0" fontId="28" fillId="36" borderId="12" xfId="0" applyFont="1" applyFill="1" applyBorder="1" applyAlignment="1" applyProtection="1">
      <alignment vertical="top"/>
      <protection/>
    </xf>
    <xf numFmtId="0" fontId="28" fillId="36" borderId="12" xfId="0" applyFont="1" applyFill="1" applyBorder="1" applyAlignment="1" applyProtection="1">
      <alignment horizontal="center" vertical="top"/>
      <protection/>
    </xf>
    <xf numFmtId="0" fontId="28" fillId="36" borderId="12" xfId="0" applyNumberFormat="1" applyFont="1" applyFill="1" applyBorder="1" applyAlignment="1" applyProtection="1">
      <alignment vertical="top"/>
      <protection/>
    </xf>
    <xf numFmtId="4" fontId="6" fillId="0" borderId="10" xfId="55" applyNumberFormat="1" applyFont="1" applyFill="1" applyBorder="1" applyAlignment="1" applyProtection="1">
      <alignment horizontal="right"/>
      <protection/>
    </xf>
    <xf numFmtId="181" fontId="2" fillId="0" borderId="10" xfId="55" applyNumberFormat="1" applyFont="1" applyFill="1" applyBorder="1" applyAlignment="1" applyProtection="1">
      <alignment horizontal="right"/>
      <protection locked="0"/>
    </xf>
    <xf numFmtId="0" fontId="2" fillId="0" borderId="13" xfId="0" applyFont="1" applyBorder="1" applyAlignment="1" applyProtection="1">
      <alignment horizontal="right" vertical="top"/>
      <protection/>
    </xf>
    <xf numFmtId="0" fontId="2" fillId="0" borderId="22" xfId="0" applyFont="1" applyBorder="1" applyAlignment="1" applyProtection="1">
      <alignment vertical="top" wrapText="1"/>
      <protection/>
    </xf>
    <xf numFmtId="0" fontId="2" fillId="0" borderId="22" xfId="0" applyFont="1" applyBorder="1" applyAlignment="1" applyProtection="1">
      <alignment horizontal="right"/>
      <protection/>
    </xf>
    <xf numFmtId="4" fontId="2" fillId="0" borderId="22" xfId="0" applyNumberFormat="1" applyFont="1" applyBorder="1" applyAlignment="1" applyProtection="1">
      <alignment/>
      <protection/>
    </xf>
    <xf numFmtId="181" fontId="2" fillId="0" borderId="22" xfId="42" applyNumberFormat="1" applyFont="1" applyBorder="1" applyAlignment="1" applyProtection="1">
      <alignment horizontal="right"/>
      <protection locked="0"/>
    </xf>
    <xf numFmtId="181" fontId="2" fillId="0" borderId="18" xfId="42" applyNumberFormat="1" applyFont="1" applyBorder="1" applyAlignment="1" applyProtection="1">
      <alignment horizontal="right"/>
      <protection/>
    </xf>
    <xf numFmtId="181" fontId="5" fillId="0" borderId="37" xfId="0" applyNumberFormat="1" applyFont="1" applyBorder="1" applyAlignment="1">
      <alignment/>
    </xf>
    <xf numFmtId="181" fontId="5" fillId="34" borderId="37" xfId="0" applyNumberFormat="1" applyFont="1" applyFill="1" applyBorder="1" applyAlignment="1">
      <alignment/>
    </xf>
    <xf numFmtId="0" fontId="20" fillId="0" borderId="17" xfId="0" applyNumberFormat="1" applyFont="1" applyBorder="1" applyAlignment="1" applyProtection="1">
      <alignment vertical="top"/>
      <protection/>
    </xf>
    <xf numFmtId="0" fontId="20" fillId="0" borderId="10" xfId="0" applyNumberFormat="1" applyFont="1" applyBorder="1" applyAlignment="1" applyProtection="1">
      <alignment vertical="top"/>
      <protection/>
    </xf>
    <xf numFmtId="0" fontId="32" fillId="0" borderId="17" xfId="0" applyNumberFormat="1" applyFont="1" applyBorder="1" applyAlignment="1" applyProtection="1">
      <alignment horizontal="center" vertical="top"/>
      <protection/>
    </xf>
    <xf numFmtId="4" fontId="27" fillId="0" borderId="16" xfId="0" applyNumberFormat="1" applyFont="1" applyFill="1" applyBorder="1" applyAlignment="1" applyProtection="1">
      <alignment horizontal="center" vertical="top"/>
      <protection/>
    </xf>
    <xf numFmtId="4" fontId="27" fillId="0" borderId="24" xfId="0" applyNumberFormat="1" applyFont="1" applyFill="1" applyBorder="1" applyAlignment="1" applyProtection="1">
      <alignment horizontal="center" vertical="top"/>
      <protection/>
    </xf>
    <xf numFmtId="4" fontId="27" fillId="0" borderId="17" xfId="0" applyNumberFormat="1" applyFont="1" applyFill="1" applyBorder="1" applyAlignment="1" applyProtection="1">
      <alignment horizontal="center" vertical="top"/>
      <protection/>
    </xf>
    <xf numFmtId="4" fontId="33" fillId="0" borderId="17" xfId="0" applyNumberFormat="1" applyFont="1" applyFill="1" applyBorder="1" applyAlignment="1" applyProtection="1">
      <alignment horizontal="center" vertical="top"/>
      <protection/>
    </xf>
    <xf numFmtId="4" fontId="31" fillId="0" borderId="17" xfId="0" applyNumberFormat="1" applyFont="1" applyFill="1" applyBorder="1" applyAlignment="1" applyProtection="1">
      <alignment horizontal="center" vertical="top"/>
      <protection/>
    </xf>
    <xf numFmtId="4" fontId="27" fillId="0" borderId="17" xfId="0" applyNumberFormat="1" applyFont="1" applyBorder="1" applyAlignment="1" applyProtection="1">
      <alignment horizontal="center" vertical="top"/>
      <protection/>
    </xf>
    <xf numFmtId="4" fontId="27" fillId="0" borderId="24" xfId="0" applyNumberFormat="1" applyFont="1" applyBorder="1" applyAlignment="1" applyProtection="1">
      <alignment horizontal="center" vertical="top"/>
      <protection/>
    </xf>
    <xf numFmtId="4" fontId="31" fillId="0" borderId="24" xfId="0" applyNumberFormat="1" applyFont="1" applyFill="1" applyBorder="1" applyAlignment="1" applyProtection="1">
      <alignment horizontal="center" vertical="top"/>
      <protection/>
    </xf>
    <xf numFmtId="4" fontId="31" fillId="0" borderId="16" xfId="0" applyNumberFormat="1" applyFont="1" applyBorder="1" applyAlignment="1" applyProtection="1">
      <alignment horizontal="center" vertical="top"/>
      <protection/>
    </xf>
    <xf numFmtId="0" fontId="27" fillId="0" borderId="16" xfId="0" applyFont="1" applyFill="1" applyBorder="1" applyAlignment="1" applyProtection="1">
      <alignment vertical="top"/>
      <protection/>
    </xf>
    <xf numFmtId="4" fontId="31" fillId="0" borderId="24" xfId="0" applyNumberFormat="1" applyFont="1" applyBorder="1" applyAlignment="1" applyProtection="1">
      <alignment horizontal="center" vertical="top"/>
      <protection/>
    </xf>
    <xf numFmtId="0" fontId="27" fillId="0" borderId="17" xfId="0" applyFont="1" applyFill="1" applyBorder="1" applyAlignment="1" applyProtection="1">
      <alignment vertical="top"/>
      <protection/>
    </xf>
    <xf numFmtId="4" fontId="31" fillId="0" borderId="17" xfId="0" applyNumberFormat="1" applyFont="1" applyBorder="1" applyAlignment="1" applyProtection="1">
      <alignment horizontal="center" vertical="top"/>
      <protection/>
    </xf>
    <xf numFmtId="0" fontId="32" fillId="0" borderId="17" xfId="0" applyFont="1" applyFill="1" applyBorder="1" applyAlignment="1" applyProtection="1">
      <alignment vertical="top"/>
      <protection/>
    </xf>
    <xf numFmtId="0" fontId="32" fillId="0" borderId="17" xfId="0" applyNumberFormat="1" applyFont="1" applyBorder="1" applyAlignment="1" applyProtection="1">
      <alignment vertical="top"/>
      <protection/>
    </xf>
    <xf numFmtId="0" fontId="20" fillId="0" borderId="17" xfId="0" applyNumberFormat="1" applyFont="1" applyBorder="1" applyAlignment="1" applyProtection="1">
      <alignment horizontal="center" vertical="top"/>
      <protection/>
    </xf>
    <xf numFmtId="4" fontId="29" fillId="0" borderId="16" xfId="0" applyNumberFormat="1" applyFont="1" applyFill="1" applyBorder="1" applyAlignment="1" applyProtection="1">
      <alignment horizontal="center" vertical="top"/>
      <protection/>
    </xf>
    <xf numFmtId="4" fontId="29" fillId="0" borderId="17" xfId="0" applyNumberFormat="1" applyFont="1" applyFill="1" applyBorder="1" applyAlignment="1" applyProtection="1">
      <alignment horizontal="center" vertical="top"/>
      <protection/>
    </xf>
    <xf numFmtId="4" fontId="35" fillId="0" borderId="17" xfId="0" applyNumberFormat="1" applyFont="1" applyFill="1" applyBorder="1" applyAlignment="1" applyProtection="1">
      <alignment horizontal="center" vertical="top"/>
      <protection/>
    </xf>
    <xf numFmtId="4" fontId="35" fillId="0" borderId="16" xfId="0" applyNumberFormat="1" applyFont="1" applyBorder="1" applyAlignment="1" applyProtection="1">
      <alignment horizontal="center" vertical="top"/>
      <protection/>
    </xf>
    <xf numFmtId="4" fontId="29" fillId="0" borderId="17" xfId="0" applyNumberFormat="1" applyFont="1" applyBorder="1" applyAlignment="1" applyProtection="1">
      <alignment horizontal="center" vertical="top"/>
      <protection/>
    </xf>
    <xf numFmtId="4" fontId="35" fillId="0" borderId="17" xfId="0" applyNumberFormat="1" applyFont="1" applyBorder="1" applyAlignment="1" applyProtection="1">
      <alignment horizontal="center" vertical="top"/>
      <protection/>
    </xf>
    <xf numFmtId="4" fontId="29" fillId="0" borderId="24" xfId="0" applyNumberFormat="1" applyFont="1" applyBorder="1" applyAlignment="1" applyProtection="1">
      <alignment horizontal="center" vertical="top"/>
      <protection/>
    </xf>
    <xf numFmtId="0" fontId="29" fillId="0" borderId="17" xfId="0" applyFont="1" applyFill="1" applyBorder="1" applyAlignment="1" applyProtection="1">
      <alignment vertical="top"/>
      <protection/>
    </xf>
    <xf numFmtId="0" fontId="20" fillId="0" borderId="17" xfId="0" applyFont="1" applyFill="1" applyBorder="1" applyAlignment="1" applyProtection="1">
      <alignment vertical="top"/>
      <protection/>
    </xf>
    <xf numFmtId="3" fontId="20" fillId="0" borderId="17" xfId="0" applyNumberFormat="1" applyFont="1" applyBorder="1" applyAlignment="1" applyProtection="1">
      <alignment horizontal="center" vertical="top"/>
      <protection/>
    </xf>
    <xf numFmtId="3" fontId="20" fillId="0" borderId="10" xfId="0" applyNumberFormat="1" applyFont="1" applyBorder="1" applyAlignment="1" applyProtection="1">
      <alignment horizontal="center" vertical="top"/>
      <protection/>
    </xf>
    <xf numFmtId="3" fontId="31" fillId="0" borderId="16" xfId="0" applyNumberFormat="1" applyFont="1" applyBorder="1" applyAlignment="1" applyProtection="1">
      <alignment horizontal="center" vertical="top"/>
      <protection/>
    </xf>
    <xf numFmtId="3" fontId="29" fillId="0" borderId="24" xfId="0" applyNumberFormat="1" applyFont="1" applyBorder="1" applyAlignment="1" applyProtection="1">
      <alignment horizontal="center" vertical="top"/>
      <protection/>
    </xf>
    <xf numFmtId="3" fontId="29" fillId="0" borderId="17" xfId="0" applyNumberFormat="1" applyFont="1" applyBorder="1" applyAlignment="1" applyProtection="1">
      <alignment horizontal="center" vertical="top"/>
      <protection/>
    </xf>
    <xf numFmtId="3" fontId="31" fillId="0" borderId="16" xfId="0" applyNumberFormat="1" applyFont="1" applyFill="1" applyBorder="1" applyAlignment="1" applyProtection="1">
      <alignment horizontal="center" vertical="top"/>
      <protection/>
    </xf>
    <xf numFmtId="3" fontId="37" fillId="0" borderId="17" xfId="0" applyNumberFormat="1" applyFont="1" applyBorder="1" applyAlignment="1" applyProtection="1">
      <alignment horizontal="center" vertical="top"/>
      <protection/>
    </xf>
    <xf numFmtId="3" fontId="31" fillId="0" borderId="17" xfId="0" applyNumberFormat="1" applyFont="1" applyBorder="1" applyAlignment="1" applyProtection="1">
      <alignment horizontal="center" vertical="top"/>
      <protection/>
    </xf>
    <xf numFmtId="0" fontId="29" fillId="0" borderId="16" xfId="0" applyFont="1" applyFill="1" applyBorder="1" applyAlignment="1" applyProtection="1">
      <alignment vertical="top"/>
      <protection/>
    </xf>
    <xf numFmtId="3" fontId="35" fillId="0" borderId="17" xfId="0" applyNumberFormat="1" applyFont="1" applyBorder="1" applyAlignment="1" applyProtection="1">
      <alignment vertical="top"/>
      <protection/>
    </xf>
    <xf numFmtId="3" fontId="35" fillId="0" borderId="24" xfId="0" applyNumberFormat="1" applyFont="1" applyBorder="1" applyAlignment="1" applyProtection="1">
      <alignment vertical="top"/>
      <protection/>
    </xf>
    <xf numFmtId="0" fontId="20" fillId="0" borderId="17" xfId="0" applyFont="1" applyBorder="1" applyAlignment="1" applyProtection="1">
      <alignment horizontal="center" vertical="top"/>
      <protection/>
    </xf>
    <xf numFmtId="0" fontId="20" fillId="0" borderId="17" xfId="0" applyFont="1" applyBorder="1" applyAlignment="1" applyProtection="1">
      <alignment vertical="top"/>
      <protection/>
    </xf>
    <xf numFmtId="0" fontId="20" fillId="0" borderId="10" xfId="0" applyFont="1" applyBorder="1" applyAlignment="1" applyProtection="1">
      <alignment vertical="top"/>
      <protection/>
    </xf>
    <xf numFmtId="1" fontId="31" fillId="0" borderId="16" xfId="0" applyNumberFormat="1" applyFont="1" applyBorder="1" applyAlignment="1" applyProtection="1">
      <alignment horizontal="center" vertical="top"/>
      <protection/>
    </xf>
    <xf numFmtId="0" fontId="29" fillId="0" borderId="24" xfId="0" applyFont="1" applyBorder="1" applyAlignment="1" applyProtection="1">
      <alignment vertical="top"/>
      <protection/>
    </xf>
    <xf numFmtId="0" fontId="29" fillId="0" borderId="17" xfId="0" applyFont="1" applyBorder="1" applyAlignment="1" applyProtection="1">
      <alignment vertical="top"/>
      <protection/>
    </xf>
    <xf numFmtId="0" fontId="37" fillId="0" borderId="17" xfId="0" applyFont="1" applyBorder="1" applyAlignment="1" applyProtection="1">
      <alignment vertical="top"/>
      <protection/>
    </xf>
    <xf numFmtId="1" fontId="31" fillId="0" borderId="17" xfId="0" applyNumberFormat="1" applyFont="1" applyBorder="1" applyAlignment="1" applyProtection="1">
      <alignment horizontal="center" vertical="top"/>
      <protection/>
    </xf>
    <xf numFmtId="1" fontId="31" fillId="0" borderId="24" xfId="0" applyNumberFormat="1" applyFont="1" applyBorder="1" applyAlignment="1" applyProtection="1">
      <alignment horizontal="center" vertical="top"/>
      <protection/>
    </xf>
    <xf numFmtId="0" fontId="38" fillId="0" borderId="16" xfId="0" applyFont="1" applyBorder="1" applyAlignment="1" applyProtection="1">
      <alignment horizontal="center" vertical="top"/>
      <protection/>
    </xf>
    <xf numFmtId="0" fontId="38" fillId="0" borderId="17" xfId="0" applyFont="1" applyBorder="1" applyAlignment="1" applyProtection="1">
      <alignment horizontal="center" vertical="top"/>
      <protection/>
    </xf>
    <xf numFmtId="0" fontId="40" fillId="0" borderId="1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32" fillId="33" borderId="16" xfId="0" applyFont="1" applyFill="1" applyBorder="1" applyAlignment="1" applyProtection="1">
      <alignment vertical="top"/>
      <protection/>
    </xf>
    <xf numFmtId="49" fontId="30" fillId="0" borderId="11" xfId="0" applyNumberFormat="1" applyFont="1" applyBorder="1" applyAlignment="1" applyProtection="1">
      <alignment vertical="top"/>
      <protection/>
    </xf>
    <xf numFmtId="0" fontId="30" fillId="0" borderId="11" xfId="0" applyFont="1" applyBorder="1" applyAlignment="1" applyProtection="1">
      <alignment vertical="top" wrapText="1"/>
      <protection/>
    </xf>
    <xf numFmtId="0" fontId="20" fillId="0" borderId="21" xfId="0" applyNumberFormat="1" applyFont="1" applyBorder="1" applyAlignment="1" applyProtection="1">
      <alignment vertical="top"/>
      <protection/>
    </xf>
    <xf numFmtId="49" fontId="20" fillId="0" borderId="16" xfId="0" applyNumberFormat="1" applyFont="1" applyBorder="1" applyAlignment="1" applyProtection="1">
      <alignment horizontal="left" vertical="top"/>
      <protection/>
    </xf>
    <xf numFmtId="0" fontId="29" fillId="0" borderId="10" xfId="0" applyNumberFormat="1" applyFont="1" applyBorder="1" applyAlignment="1" applyProtection="1">
      <alignment vertical="top" wrapText="1"/>
      <protection/>
    </xf>
    <xf numFmtId="49" fontId="20" fillId="0" borderId="17" xfId="0" applyNumberFormat="1" applyFont="1" applyBorder="1" applyAlignment="1" applyProtection="1">
      <alignment horizontal="left" vertical="top" wrapText="1"/>
      <protection/>
    </xf>
    <xf numFmtId="0" fontId="27" fillId="0" borderId="16" xfId="0" applyNumberFormat="1" applyFont="1" applyBorder="1" applyAlignment="1" applyProtection="1">
      <alignment horizontal="left" vertical="top" wrapText="1"/>
      <protection/>
    </xf>
    <xf numFmtId="0" fontId="29" fillId="0" borderId="24" xfId="0" applyFont="1" applyBorder="1" applyAlignment="1">
      <alignment horizontal="left" vertical="top" wrapText="1"/>
    </xf>
    <xf numFmtId="0" fontId="29" fillId="0" borderId="17" xfId="0" applyNumberFormat="1" applyFont="1" applyBorder="1" applyAlignment="1" applyProtection="1">
      <alignment horizontal="left" vertical="top" wrapText="1"/>
      <protection/>
    </xf>
    <xf numFmtId="0" fontId="29" fillId="0" borderId="17" xfId="0" applyNumberFormat="1" applyFont="1" applyBorder="1" applyAlignment="1">
      <alignment horizontal="left" vertical="top" wrapText="1"/>
    </xf>
    <xf numFmtId="0" fontId="29" fillId="0" borderId="24" xfId="0" applyNumberFormat="1" applyFont="1" applyBorder="1" applyAlignment="1">
      <alignment horizontal="left" vertical="top" wrapText="1"/>
    </xf>
    <xf numFmtId="0" fontId="20" fillId="0" borderId="17" xfId="0" applyFont="1" applyBorder="1" applyAlignment="1" applyProtection="1">
      <alignment/>
      <protection/>
    </xf>
    <xf numFmtId="0" fontId="27" fillId="0" borderId="17" xfId="0" applyNumberFormat="1" applyFont="1" applyBorder="1" applyAlignment="1" applyProtection="1">
      <alignment horizontal="left" vertical="top" wrapText="1"/>
      <protection/>
    </xf>
    <xf numFmtId="0" fontId="31" fillId="0" borderId="17" xfId="0" applyNumberFormat="1" applyFont="1" applyBorder="1" applyAlignment="1" applyProtection="1">
      <alignment horizontal="left" vertical="top" wrapText="1"/>
      <protection/>
    </xf>
    <xf numFmtId="0" fontId="31" fillId="0" borderId="24" xfId="0" applyNumberFormat="1" applyFont="1" applyBorder="1" applyAlignment="1" applyProtection="1">
      <alignment horizontal="left" vertical="top" wrapText="1"/>
      <protection/>
    </xf>
    <xf numFmtId="0" fontId="29" fillId="0" borderId="24" xfId="0" applyNumberFormat="1" applyFont="1" applyBorder="1" applyAlignment="1" applyProtection="1">
      <alignment horizontal="left" vertical="top" wrapText="1"/>
      <protection/>
    </xf>
    <xf numFmtId="0" fontId="27" fillId="0" borderId="24" xfId="0" applyNumberFormat="1" applyFont="1" applyBorder="1" applyAlignment="1" applyProtection="1">
      <alignment horizontal="left" vertical="top" wrapText="1"/>
      <protection/>
    </xf>
    <xf numFmtId="0" fontId="38" fillId="0" borderId="17" xfId="0" applyFont="1" applyBorder="1" applyAlignment="1" applyProtection="1">
      <alignment vertical="top"/>
      <protection/>
    </xf>
    <xf numFmtId="0" fontId="40" fillId="0" borderId="17" xfId="0" applyFont="1" applyBorder="1" applyAlignment="1" applyProtection="1">
      <alignment vertical="top"/>
      <protection/>
    </xf>
    <xf numFmtId="49" fontId="20" fillId="0" borderId="17" xfId="0" applyNumberFormat="1" applyFont="1" applyBorder="1" applyAlignment="1" applyProtection="1">
      <alignment horizontal="left" vertical="top"/>
      <protection/>
    </xf>
    <xf numFmtId="0" fontId="29" fillId="0" borderId="24" xfId="0" applyNumberFormat="1" applyFont="1" applyFill="1" applyBorder="1" applyAlignment="1" applyProtection="1">
      <alignment horizontal="left" vertical="top" wrapText="1"/>
      <protection/>
    </xf>
    <xf numFmtId="0" fontId="38" fillId="0" borderId="21" xfId="0" applyFont="1" applyBorder="1" applyAlignment="1" applyProtection="1">
      <alignment vertical="top"/>
      <protection/>
    </xf>
    <xf numFmtId="0" fontId="29" fillId="0" borderId="18" xfId="0" applyFont="1" applyBorder="1" applyAlignment="1" applyProtection="1">
      <alignment horizontal="left" vertical="top"/>
      <protection/>
    </xf>
    <xf numFmtId="0" fontId="29" fillId="0" borderId="19" xfId="0" applyFont="1" applyBorder="1" applyAlignment="1" applyProtection="1">
      <alignment horizontal="left" vertical="top"/>
      <protection/>
    </xf>
    <xf numFmtId="0" fontId="29" fillId="0" borderId="36" xfId="0" applyFont="1" applyBorder="1" applyAlignment="1" applyProtection="1">
      <alignment horizontal="left" vertical="top"/>
      <protection/>
    </xf>
    <xf numFmtId="49" fontId="29" fillId="0" borderId="13" xfId="0" applyNumberFormat="1" applyFont="1" applyBorder="1" applyAlignment="1" applyProtection="1">
      <alignment horizontal="right" vertical="top"/>
      <protection/>
    </xf>
    <xf numFmtId="49" fontId="29" fillId="0" borderId="14" xfId="0" applyNumberFormat="1" applyFont="1" applyBorder="1" applyAlignment="1" applyProtection="1">
      <alignment horizontal="right" vertical="top"/>
      <protection/>
    </xf>
    <xf numFmtId="49" fontId="29" fillId="0" borderId="34" xfId="0" applyNumberFormat="1" applyFont="1" applyBorder="1" applyAlignment="1" applyProtection="1">
      <alignment horizontal="right" vertical="top"/>
      <protection/>
    </xf>
    <xf numFmtId="49" fontId="30" fillId="0" borderId="11" xfId="0" applyNumberFormat="1" applyFont="1" applyBorder="1" applyAlignment="1" applyProtection="1">
      <alignment horizontal="right" vertical="top"/>
      <protection/>
    </xf>
    <xf numFmtId="0" fontId="27" fillId="0" borderId="18" xfId="0" applyNumberFormat="1" applyFont="1" applyBorder="1" applyAlignment="1" applyProtection="1">
      <alignment horizontal="left" vertical="top" wrapText="1"/>
      <protection/>
    </xf>
    <xf numFmtId="0" fontId="29" fillId="0" borderId="19" xfId="0" applyNumberFormat="1" applyFont="1" applyBorder="1" applyAlignment="1">
      <alignment horizontal="left" vertical="top" wrapText="1"/>
    </xf>
    <xf numFmtId="0" fontId="29" fillId="0" borderId="36" xfId="0" applyNumberFormat="1" applyFont="1" applyBorder="1" applyAlignment="1">
      <alignment horizontal="left" vertical="top" wrapText="1"/>
    </xf>
    <xf numFmtId="0" fontId="29" fillId="0" borderId="19" xfId="0" applyNumberFormat="1" applyFont="1" applyBorder="1" applyAlignment="1" applyProtection="1">
      <alignment horizontal="left" vertical="top" wrapText="1"/>
      <protection/>
    </xf>
    <xf numFmtId="0" fontId="31" fillId="0" borderId="21" xfId="0" applyNumberFormat="1" applyFont="1" applyBorder="1" applyAlignment="1" applyProtection="1">
      <alignment horizontal="left" vertical="top" wrapText="1"/>
      <protection/>
    </xf>
    <xf numFmtId="0" fontId="45" fillId="34" borderId="11" xfId="0" applyFont="1" applyFill="1" applyBorder="1" applyAlignment="1">
      <alignment vertical="center" wrapText="1"/>
    </xf>
    <xf numFmtId="0" fontId="46" fillId="34" borderId="11" xfId="0" applyFont="1" applyFill="1" applyBorder="1" applyAlignment="1">
      <alignment vertical="center" wrapText="1"/>
    </xf>
    <xf numFmtId="0" fontId="5" fillId="34" borderId="22" xfId="0" applyFont="1" applyFill="1" applyBorder="1" applyAlignment="1">
      <alignment vertical="top" wrapText="1"/>
    </xf>
    <xf numFmtId="0" fontId="0" fillId="34" borderId="22" xfId="0" applyFont="1" applyFill="1" applyBorder="1" applyAlignment="1">
      <alignment vertical="top" wrapText="1"/>
    </xf>
    <xf numFmtId="0" fontId="0" fillId="34" borderId="18" xfId="0" applyFont="1" applyFill="1" applyBorder="1" applyAlignment="1">
      <alignment vertical="top" wrapText="1"/>
    </xf>
    <xf numFmtId="0" fontId="5" fillId="34" borderId="23" xfId="0" applyFont="1" applyFill="1" applyBorder="1" applyAlignment="1">
      <alignment vertical="top" wrapText="1"/>
    </xf>
    <xf numFmtId="0" fontId="0" fillId="34" borderId="23" xfId="0" applyFont="1" applyFill="1" applyBorder="1" applyAlignment="1">
      <alignment vertical="top" wrapText="1"/>
    </xf>
    <xf numFmtId="0" fontId="0" fillId="34" borderId="36" xfId="0" applyFont="1" applyFill="1" applyBorder="1" applyAlignment="1">
      <alignment vertical="top" wrapText="1"/>
    </xf>
    <xf numFmtId="0" fontId="3" fillId="36" borderId="11" xfId="0" applyFont="1" applyFill="1" applyBorder="1" applyAlignment="1" applyProtection="1">
      <alignment horizontal="left" wrapText="1"/>
      <protection/>
    </xf>
    <xf numFmtId="0" fontId="5" fillId="36" borderId="11" xfId="55" applyFont="1" applyFill="1" applyBorder="1" applyAlignment="1" applyProtection="1">
      <alignment horizontal="left" vertical="center" wrapText="1"/>
      <protection/>
    </xf>
    <xf numFmtId="0" fontId="4" fillId="36" borderId="11" xfId="55" applyFont="1" applyFill="1" applyBorder="1" applyAlignment="1" applyProtection="1">
      <alignment horizontal="left" vertical="center"/>
      <protection/>
    </xf>
    <xf numFmtId="0" fontId="4" fillId="36" borderId="21" xfId="55" applyFont="1" applyFill="1" applyBorder="1" applyAlignment="1" applyProtection="1">
      <alignment horizontal="left" vertical="center"/>
      <protection/>
    </xf>
    <xf numFmtId="183" fontId="21" fillId="0" borderId="10" xfId="0" applyNumberFormat="1" applyFont="1" applyFill="1" applyBorder="1" applyAlignment="1" applyProtection="1">
      <alignment vertical="top" wrapText="1"/>
      <protection/>
    </xf>
    <xf numFmtId="183" fontId="42" fillId="0" borderId="10" xfId="0" applyNumberFormat="1" applyFont="1" applyBorder="1" applyAlignment="1" applyProtection="1">
      <alignment wrapText="1"/>
      <protection/>
    </xf>
    <xf numFmtId="4" fontId="21" fillId="0" borderId="10" xfId="0" applyNumberFormat="1" applyFont="1" applyFill="1" applyBorder="1" applyAlignment="1" applyProtection="1">
      <alignment horizontal="left" vertical="top" wrapText="1"/>
      <protection/>
    </xf>
    <xf numFmtId="0" fontId="42" fillId="35" borderId="10" xfId="0" applyFont="1" applyFill="1" applyBorder="1" applyAlignment="1" applyProtection="1">
      <alignment vertical="top" wrapText="1"/>
      <protection/>
    </xf>
    <xf numFmtId="0" fontId="42" fillId="0" borderId="10" xfId="0" applyFont="1" applyBorder="1" applyAlignment="1" applyProtection="1">
      <alignment vertical="top" wrapText="1"/>
      <protection/>
    </xf>
    <xf numFmtId="0" fontId="15" fillId="0" borderId="10" xfId="0" applyFont="1" applyBorder="1" applyAlignment="1" applyProtection="1">
      <alignment vertical="top" wrapText="1"/>
      <protection/>
    </xf>
    <xf numFmtId="0" fontId="14" fillId="0" borderId="10" xfId="0" applyFont="1" applyBorder="1" applyAlignment="1" applyProtection="1">
      <alignment wrapText="1"/>
      <protection/>
    </xf>
    <xf numFmtId="0" fontId="14" fillId="0" borderId="10" xfId="0" applyFont="1" applyBorder="1" applyAlignment="1" applyProtection="1">
      <alignment vertical="top" wrapText="1"/>
      <protection/>
    </xf>
    <xf numFmtId="0" fontId="0" fillId="0" borderId="10" xfId="0" applyBorder="1" applyAlignment="1" applyProtection="1">
      <alignment/>
      <protection/>
    </xf>
    <xf numFmtId="0" fontId="3" fillId="0" borderId="10" xfId="0" applyFont="1" applyFill="1" applyBorder="1" applyAlignment="1" applyProtection="1">
      <alignment horizontal="left" wrapText="1"/>
      <protection/>
    </xf>
    <xf numFmtId="0" fontId="0" fillId="0" borderId="10" xfId="0" applyFont="1" applyFill="1" applyBorder="1" applyAlignment="1" applyProtection="1">
      <alignment wrapText="1"/>
      <protection/>
    </xf>
    <xf numFmtId="0" fontId="15" fillId="0" borderId="22" xfId="55" applyFont="1" applyBorder="1" applyAlignment="1" applyProtection="1">
      <alignment horizontal="left" vertical="center" wrapText="1"/>
      <protection/>
    </xf>
    <xf numFmtId="0" fontId="15" fillId="0" borderId="18" xfId="55" applyFont="1" applyBorder="1" applyAlignment="1" applyProtection="1">
      <alignment horizontal="left" vertical="center" wrapText="1"/>
      <protection/>
    </xf>
    <xf numFmtId="0" fontId="29" fillId="0" borderId="0" xfId="0" applyNumberFormat="1" applyFont="1" applyBorder="1" applyAlignment="1" applyProtection="1">
      <alignment vertical="top"/>
      <protection/>
    </xf>
    <xf numFmtId="0" fontId="29" fillId="0" borderId="19" xfId="0" applyNumberFormat="1" applyFont="1" applyBorder="1" applyAlignment="1" applyProtection="1">
      <alignmen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avadno 2" xfId="55"/>
    <cellStyle name="Navadno_02 IP R GOLAC" xfId="56"/>
    <cellStyle name="Navadno_TRIMOFORM MUŠT" xfId="57"/>
    <cellStyle name="Neutral" xfId="58"/>
    <cellStyle name="Note" xfId="59"/>
    <cellStyle name="Output" xfId="60"/>
    <cellStyle name="Percent" xfId="61"/>
    <cellStyle name="Title" xfId="62"/>
    <cellStyle name="Total" xfId="63"/>
    <cellStyle name="Valuta_TRIMOFORM MUŠT" xfId="64"/>
    <cellStyle name="Vejica 2" xfId="65"/>
    <cellStyle name="Vejica_TRIMOFORM MUŠ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isi%20strojne%20instalacije%20Dom%20na%20Vidm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UVOD V PREDRAČUN"/>
      <sheetName val="1_Instalacije"/>
      <sheetName val="3_Daljinsko omrezje"/>
      <sheetName val="HPR_SD_stara verzija"/>
      <sheetName val="List1"/>
    </sheetNames>
    <sheetDataSet>
      <sheetData sheetId="0">
        <row r="26">
          <cell r="B26" t="str">
            <v>P.</v>
          </cell>
        </row>
        <row r="30">
          <cell r="B30">
            <v>1</v>
          </cell>
        </row>
        <row r="32">
          <cell r="B3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GridLines="0" tabSelected="1" workbookViewId="0" topLeftCell="A1">
      <selection activeCell="C5" sqref="C5"/>
    </sheetView>
  </sheetViews>
  <sheetFormatPr defaultColWidth="9.140625" defaultRowHeight="15"/>
  <cols>
    <col min="1" max="1" width="4.140625" style="2" customWidth="1"/>
    <col min="2" max="2" width="46.7109375" style="3" customWidth="1"/>
    <col min="3" max="3" width="6.8515625" style="3" customWidth="1"/>
    <col min="4" max="4" width="23.7109375" style="4" customWidth="1"/>
    <col min="5" max="5" width="23.00390625" style="3" customWidth="1"/>
    <col min="6" max="6" width="27.140625" style="3" customWidth="1"/>
    <col min="7" max="7" width="9.140625" style="3" customWidth="1"/>
    <col min="8" max="8" width="13.8515625" style="3" bestFit="1" customWidth="1"/>
    <col min="9" max="16384" width="9.140625" style="3" customWidth="1"/>
  </cols>
  <sheetData>
    <row r="1" spans="1:6" ht="24" customHeight="1">
      <c r="A1" s="380"/>
      <c r="B1" s="658" t="s">
        <v>397</v>
      </c>
      <c r="C1" s="659"/>
      <c r="D1" s="659"/>
      <c r="E1" s="381"/>
      <c r="F1" s="382"/>
    </row>
    <row r="2" spans="1:6" ht="13.5">
      <c r="A2" s="377"/>
      <c r="B2" s="378"/>
      <c r="C2" s="378"/>
      <c r="D2" s="379"/>
      <c r="E2" s="378"/>
      <c r="F2" s="378"/>
    </row>
    <row r="3" spans="1:6" ht="13.5">
      <c r="A3" s="115"/>
      <c r="B3" s="113"/>
      <c r="C3" s="368" t="s">
        <v>357</v>
      </c>
      <c r="D3" s="369" t="s">
        <v>4</v>
      </c>
      <c r="E3" s="370" t="s">
        <v>358</v>
      </c>
      <c r="F3" s="370" t="s">
        <v>359</v>
      </c>
    </row>
    <row r="4" spans="1:6" ht="19.5" customHeight="1">
      <c r="A4" s="371"/>
      <c r="B4" s="116"/>
      <c r="C4" s="116"/>
      <c r="D4" s="76"/>
      <c r="E4" s="80"/>
      <c r="F4" s="80"/>
    </row>
    <row r="5" spans="1:6" ht="19.5" customHeight="1">
      <c r="A5" s="115" t="s">
        <v>229</v>
      </c>
      <c r="B5" s="113" t="s">
        <v>361</v>
      </c>
      <c r="C5" s="120"/>
      <c r="D5" s="114">
        <f>'REKAPITULACIJA GRADBENA DELA '!D8</f>
        <v>0</v>
      </c>
      <c r="E5" s="114">
        <f>'UPRAVIČENI STROŠKI GOI'!D13</f>
        <v>0</v>
      </c>
      <c r="F5" s="114">
        <f>'REKAPITULACIJA GRADBENA DELA '!D6</f>
        <v>0</v>
      </c>
    </row>
    <row r="6" spans="1:6" ht="13.5">
      <c r="A6" s="115"/>
      <c r="B6" s="113"/>
      <c r="C6" s="120"/>
      <c r="D6" s="114"/>
      <c r="E6" s="114"/>
      <c r="F6" s="114"/>
    </row>
    <row r="7" spans="1:6" ht="16.5" customHeight="1">
      <c r="A7" s="115" t="s">
        <v>232</v>
      </c>
      <c r="B7" s="113" t="s">
        <v>268</v>
      </c>
      <c r="C7" s="120"/>
      <c r="D7" s="114">
        <f>'STROJNE INSTALACIJE'!I219</f>
        <v>0</v>
      </c>
      <c r="E7" s="114">
        <f>'STROJNE INSTALACIJE'!G219</f>
        <v>0</v>
      </c>
      <c r="F7" s="114">
        <f>'STROJNE INSTALACIJE'!H219</f>
        <v>0</v>
      </c>
    </row>
    <row r="8" spans="1:6" ht="13.5">
      <c r="A8" s="371"/>
      <c r="B8" s="117"/>
      <c r="C8" s="117"/>
      <c r="D8" s="77"/>
      <c r="E8" s="81"/>
      <c r="F8" s="81"/>
    </row>
    <row r="9" spans="1:6" ht="15" thickBot="1">
      <c r="A9" s="372"/>
      <c r="B9" s="118" t="s">
        <v>366</v>
      </c>
      <c r="C9" s="118"/>
      <c r="D9" s="78">
        <f>SUM(D5:D7)</f>
        <v>0</v>
      </c>
      <c r="E9" s="78">
        <f>SUM(E5:E7)</f>
        <v>0</v>
      </c>
      <c r="F9" s="569">
        <f>SUM(F5:F7)</f>
        <v>0</v>
      </c>
    </row>
    <row r="10" spans="1:6" ht="15" thickTop="1">
      <c r="A10" s="371"/>
      <c r="B10" s="117"/>
      <c r="C10" s="117"/>
      <c r="D10" s="77"/>
      <c r="E10" s="81"/>
      <c r="F10" s="81"/>
    </row>
    <row r="11" spans="1:6" ht="16.5" customHeight="1">
      <c r="A11" s="115" t="s">
        <v>365</v>
      </c>
      <c r="B11" s="113" t="s">
        <v>368</v>
      </c>
      <c r="C11" s="391">
        <v>0</v>
      </c>
      <c r="D11" s="114">
        <f>C11*D9</f>
        <v>0</v>
      </c>
      <c r="E11" s="114">
        <f>E9*C11</f>
        <v>0</v>
      </c>
      <c r="F11" s="114">
        <f>F9*C11</f>
        <v>0</v>
      </c>
    </row>
    <row r="12" spans="1:6" ht="13.5">
      <c r="A12" s="371"/>
      <c r="B12" s="117"/>
      <c r="C12" s="117"/>
      <c r="D12" s="77"/>
      <c r="E12" s="81"/>
      <c r="F12" s="81"/>
    </row>
    <row r="13" spans="1:6" ht="15" thickBot="1">
      <c r="A13" s="388"/>
      <c r="B13" s="389" t="s">
        <v>19</v>
      </c>
      <c r="C13" s="389"/>
      <c r="D13" s="390">
        <f>D11+D9</f>
        <v>0</v>
      </c>
      <c r="E13" s="390">
        <f>E11+E9</f>
        <v>0</v>
      </c>
      <c r="F13" s="570">
        <f>F11+F9</f>
        <v>0</v>
      </c>
    </row>
    <row r="14" spans="1:6" ht="15" thickTop="1">
      <c r="A14" s="371"/>
      <c r="B14" s="117"/>
      <c r="C14" s="117"/>
      <c r="D14" s="77"/>
      <c r="E14" s="81"/>
      <c r="F14" s="81"/>
    </row>
    <row r="15" spans="1:6" ht="13.5">
      <c r="A15" s="115" t="s">
        <v>367</v>
      </c>
      <c r="B15" s="374" t="s">
        <v>235</v>
      </c>
      <c r="C15" s="122">
        <v>0.2</v>
      </c>
      <c r="D15" s="114">
        <f>D13*0.2</f>
        <v>0</v>
      </c>
      <c r="E15" s="123" t="s">
        <v>362</v>
      </c>
      <c r="F15" s="114">
        <f>D15</f>
        <v>0</v>
      </c>
    </row>
    <row r="16" spans="1:8" s="7" customFormat="1" ht="13.5">
      <c r="A16" s="373"/>
      <c r="B16" s="121"/>
      <c r="C16" s="119"/>
      <c r="D16" s="79"/>
      <c r="E16" s="82"/>
      <c r="F16" s="82"/>
      <c r="G16" s="6"/>
      <c r="H16" s="3"/>
    </row>
    <row r="17" spans="1:8" s="9" customFormat="1" ht="17.25" customHeight="1" thickBot="1">
      <c r="A17" s="383"/>
      <c r="B17" s="384" t="s">
        <v>236</v>
      </c>
      <c r="C17" s="385"/>
      <c r="D17" s="386">
        <f>SUM(D13:D15)</f>
        <v>0</v>
      </c>
      <c r="E17" s="387">
        <f>SUM(E13:E15)</f>
        <v>0</v>
      </c>
      <c r="F17" s="387">
        <f>SUM(F13:F15)</f>
        <v>0</v>
      </c>
      <c r="G17" s="8"/>
      <c r="H17" s="3"/>
    </row>
    <row r="18" spans="2:6" ht="13.5">
      <c r="B18" s="2"/>
      <c r="E18" s="4"/>
      <c r="F18" s="4"/>
    </row>
    <row r="20" ht="13.5">
      <c r="E20" s="4"/>
    </row>
  </sheetData>
  <sheetProtection password="9234" sheet="1" objects="1" scenarios="1"/>
  <mergeCells count="1">
    <mergeCell ref="B1:D1"/>
  </mergeCells>
  <printOptions/>
  <pageMargins left="0.7500000000000001" right="0.7500000000000001" top="1.2600000000000002" bottom="1" header="0.5" footer="0.5"/>
  <pageSetup fitToHeight="0" fitToWidth="1" orientation="portrait" paperSize="9" scale="61"/>
  <headerFooter alignWithMargins="0">
    <oddHeader>&amp;C&amp;"Calibri,Bold"&amp;K000000PREDRAČUN: ENERGETSKA SANACIJA DOM NA VIDMU&amp;"Calibri,Regular"
</oddHeader>
    <oddFooter>&amp;LProjektantski predračun&amp;R&amp;P/&amp;N</oddFooter>
  </headerFooter>
  <ignoredErrors>
    <ignoredError sqref="D17 E17:F17 D9 F15 E16:F16 E14 E9:F13 E15 F14" emptyCellReference="1"/>
  </ignoredErrors>
</worksheet>
</file>

<file path=xl/worksheets/sheet10.xml><?xml version="1.0" encoding="utf-8"?>
<worksheet xmlns="http://schemas.openxmlformats.org/spreadsheetml/2006/main" xmlns:r="http://schemas.openxmlformats.org/officeDocument/2006/relationships">
  <sheetPr>
    <pageSetUpPr fitToPage="1"/>
  </sheetPr>
  <dimension ref="A1:I308"/>
  <sheetViews>
    <sheetView showGridLines="0" zoomScale="140" zoomScaleNormal="140" workbookViewId="0" topLeftCell="A212">
      <selection activeCell="G215" sqref="G215"/>
    </sheetView>
  </sheetViews>
  <sheetFormatPr defaultColWidth="10.7109375" defaultRowHeight="15"/>
  <cols>
    <col min="1" max="1" width="3.140625" style="274" customWidth="1"/>
    <col min="2" max="2" width="4.140625" style="274" customWidth="1"/>
    <col min="3" max="3" width="38.00390625" style="273" customWidth="1"/>
    <col min="4" max="4" width="5.421875" style="274" customWidth="1"/>
    <col min="5" max="5" width="7.00390625" style="275" customWidth="1"/>
    <col min="6" max="6" width="8.00390625" style="276" bestFit="1" customWidth="1"/>
    <col min="7" max="7" width="16.00390625" style="276" customWidth="1"/>
    <col min="8" max="8" width="13.140625" style="276" customWidth="1"/>
    <col min="9" max="9" width="12.421875" style="277" customWidth="1"/>
    <col min="10" max="16384" width="10.7109375" style="278" customWidth="1"/>
  </cols>
  <sheetData>
    <row r="1" spans="1:9" s="16" customFormat="1" ht="13.5" customHeight="1">
      <c r="A1" s="437">
        <v>7</v>
      </c>
      <c r="B1" s="667" t="s">
        <v>268</v>
      </c>
      <c r="C1" s="668"/>
      <c r="D1" s="668"/>
      <c r="E1" s="668"/>
      <c r="F1" s="669"/>
      <c r="G1" s="525"/>
      <c r="H1" s="526"/>
      <c r="I1" s="527"/>
    </row>
    <row r="2" spans="1:9" s="260" customFormat="1" ht="16.5">
      <c r="A2" s="528"/>
      <c r="B2" s="529"/>
      <c r="C2" s="530"/>
      <c r="D2" s="531"/>
      <c r="E2" s="532"/>
      <c r="F2" s="533"/>
      <c r="G2" s="533"/>
      <c r="H2" s="533"/>
      <c r="I2" s="534"/>
    </row>
    <row r="3" spans="1:9" s="260" customFormat="1" ht="16.5">
      <c r="A3" s="535" t="s">
        <v>245</v>
      </c>
      <c r="B3" s="255"/>
      <c r="C3" s="256"/>
      <c r="D3" s="257"/>
      <c r="E3" s="258"/>
      <c r="F3" s="259"/>
      <c r="G3" s="259"/>
      <c r="H3" s="259"/>
      <c r="I3" s="536"/>
    </row>
    <row r="4" spans="1:9" s="266" customFormat="1" ht="12.75" customHeight="1">
      <c r="A4" s="537">
        <v>1</v>
      </c>
      <c r="B4" s="683" t="s">
        <v>405</v>
      </c>
      <c r="C4" s="683"/>
      <c r="D4" s="683"/>
      <c r="E4" s="683"/>
      <c r="F4" s="683"/>
      <c r="G4" s="683"/>
      <c r="H4" s="683"/>
      <c r="I4" s="684"/>
    </row>
    <row r="5" spans="1:9" s="266" customFormat="1" ht="12.75" customHeight="1">
      <c r="A5" s="537"/>
      <c r="B5" s="262" t="s">
        <v>404</v>
      </c>
      <c r="C5" s="262"/>
      <c r="D5" s="262"/>
      <c r="E5" s="262"/>
      <c r="F5" s="262"/>
      <c r="G5" s="262"/>
      <c r="H5" s="262"/>
      <c r="I5" s="538"/>
    </row>
    <row r="6" spans="1:9" s="266" customFormat="1" ht="10.5">
      <c r="A6" s="537">
        <v>2</v>
      </c>
      <c r="B6" s="262" t="s">
        <v>246</v>
      </c>
      <c r="C6" s="267"/>
      <c r="D6" s="264"/>
      <c r="E6" s="263"/>
      <c r="F6" s="265"/>
      <c r="I6" s="539"/>
    </row>
    <row r="7" spans="1:9" s="266" customFormat="1" ht="10.5">
      <c r="A7" s="537">
        <v>3</v>
      </c>
      <c r="B7" s="262" t="s">
        <v>247</v>
      </c>
      <c r="C7" s="267"/>
      <c r="D7" s="264"/>
      <c r="E7" s="263"/>
      <c r="F7" s="265"/>
      <c r="I7" s="539"/>
    </row>
    <row r="8" spans="1:9" s="266" customFormat="1" ht="12.75" customHeight="1">
      <c r="A8" s="537"/>
      <c r="B8" s="262" t="s">
        <v>248</v>
      </c>
      <c r="C8" s="267"/>
      <c r="D8" s="264"/>
      <c r="E8" s="263"/>
      <c r="F8" s="265"/>
      <c r="I8" s="539"/>
    </row>
    <row r="9" spans="1:9" s="266" customFormat="1" ht="10.5">
      <c r="A9" s="540"/>
      <c r="B9" s="518" t="s">
        <v>249</v>
      </c>
      <c r="C9" s="271"/>
      <c r="D9" s="264"/>
      <c r="F9" s="306"/>
      <c r="I9" s="539"/>
    </row>
    <row r="10" spans="1:9" s="266" customFormat="1" ht="10.5">
      <c r="A10" s="540"/>
      <c r="B10" s="518" t="s">
        <v>250</v>
      </c>
      <c r="C10" s="271"/>
      <c r="D10" s="264"/>
      <c r="F10" s="306"/>
      <c r="I10" s="539"/>
    </row>
    <row r="11" spans="1:9" s="266" customFormat="1" ht="10.5">
      <c r="A11" s="540"/>
      <c r="B11" s="518" t="s">
        <v>251</v>
      </c>
      <c r="C11" s="271"/>
      <c r="D11" s="264"/>
      <c r="F11" s="306"/>
      <c r="I11" s="539"/>
    </row>
    <row r="12" spans="1:9" s="266" customFormat="1" ht="10.5">
      <c r="A12" s="540"/>
      <c r="B12" s="518" t="s">
        <v>252</v>
      </c>
      <c r="C12" s="271"/>
      <c r="D12" s="264"/>
      <c r="F12" s="306"/>
      <c r="I12" s="539"/>
    </row>
    <row r="13" spans="1:9" s="266" customFormat="1" ht="10.5">
      <c r="A13" s="540"/>
      <c r="B13" s="518" t="s">
        <v>253</v>
      </c>
      <c r="C13" s="271"/>
      <c r="D13" s="264"/>
      <c r="F13" s="306"/>
      <c r="I13" s="539"/>
    </row>
    <row r="14" spans="1:9" s="266" customFormat="1" ht="10.5">
      <c r="A14" s="540"/>
      <c r="B14" s="518"/>
      <c r="C14" s="271"/>
      <c r="D14" s="264"/>
      <c r="F14" s="306"/>
      <c r="I14" s="539"/>
    </row>
    <row r="15" spans="1:9" s="260" customFormat="1" ht="16.5">
      <c r="A15" s="541" t="s">
        <v>254</v>
      </c>
      <c r="B15" s="519"/>
      <c r="C15" s="520"/>
      <c r="E15" s="521"/>
      <c r="F15" s="522"/>
      <c r="G15" s="522"/>
      <c r="H15" s="259"/>
      <c r="I15" s="536"/>
    </row>
    <row r="16" spans="1:9" s="266" customFormat="1" ht="10.5">
      <c r="A16" s="537">
        <v>1</v>
      </c>
      <c r="B16" s="262" t="s">
        <v>406</v>
      </c>
      <c r="C16" s="267"/>
      <c r="D16" s="264"/>
      <c r="E16" s="263"/>
      <c r="F16" s="265"/>
      <c r="I16" s="539"/>
    </row>
    <row r="17" spans="1:9" s="266" customFormat="1" ht="10.5">
      <c r="A17" s="537">
        <v>2</v>
      </c>
      <c r="B17" s="262" t="s">
        <v>407</v>
      </c>
      <c r="C17" s="267"/>
      <c r="D17" s="264"/>
      <c r="E17" s="263"/>
      <c r="F17" s="265"/>
      <c r="I17" s="539"/>
    </row>
    <row r="18" spans="1:9" s="266" customFormat="1" ht="10.5">
      <c r="A18" s="537"/>
      <c r="B18" s="262" t="s">
        <v>255</v>
      </c>
      <c r="C18" s="268"/>
      <c r="D18" s="264"/>
      <c r="E18" s="263"/>
      <c r="F18" s="265"/>
      <c r="I18" s="539"/>
    </row>
    <row r="19" spans="1:9" s="266" customFormat="1" ht="10.5">
      <c r="A19" s="537"/>
      <c r="B19" s="262" t="s">
        <v>256</v>
      </c>
      <c r="C19" s="267"/>
      <c r="D19" s="264"/>
      <c r="E19" s="263"/>
      <c r="F19" s="265"/>
      <c r="I19" s="539"/>
    </row>
    <row r="20" spans="1:9" s="266" customFormat="1" ht="10.5">
      <c r="A20" s="537"/>
      <c r="B20" s="262" t="s">
        <v>257</v>
      </c>
      <c r="C20" s="267"/>
      <c r="D20" s="264"/>
      <c r="E20" s="263"/>
      <c r="F20" s="265"/>
      <c r="I20" s="539"/>
    </row>
    <row r="21" spans="1:9" s="266" customFormat="1" ht="10.5">
      <c r="A21" s="537"/>
      <c r="B21" s="262" t="s">
        <v>258</v>
      </c>
      <c r="C21" s="267"/>
      <c r="D21" s="264"/>
      <c r="E21" s="263"/>
      <c r="F21" s="265"/>
      <c r="I21" s="539"/>
    </row>
    <row r="22" spans="1:9" s="266" customFormat="1" ht="10.5">
      <c r="A22" s="537"/>
      <c r="B22" s="262" t="s">
        <v>259</v>
      </c>
      <c r="C22" s="267"/>
      <c r="D22" s="264"/>
      <c r="E22" s="263"/>
      <c r="F22" s="265"/>
      <c r="I22" s="539"/>
    </row>
    <row r="23" spans="1:9" s="266" customFormat="1" ht="10.5">
      <c r="A23" s="537"/>
      <c r="B23" s="262" t="s">
        <v>260</v>
      </c>
      <c r="C23" s="267"/>
      <c r="D23" s="264"/>
      <c r="E23" s="263"/>
      <c r="F23" s="265"/>
      <c r="I23" s="539"/>
    </row>
    <row r="24" spans="1:9" s="266" customFormat="1" ht="10.5">
      <c r="A24" s="537">
        <v>3</v>
      </c>
      <c r="B24" s="262" t="s">
        <v>363</v>
      </c>
      <c r="C24" s="267"/>
      <c r="D24" s="264"/>
      <c r="E24" s="263"/>
      <c r="F24" s="265"/>
      <c r="I24" s="539"/>
    </row>
    <row r="25" spans="1:9" s="266" customFormat="1" ht="10.5">
      <c r="A25" s="537">
        <v>4</v>
      </c>
      <c r="B25" s="262" t="s">
        <v>261</v>
      </c>
      <c r="C25" s="267"/>
      <c r="D25" s="264"/>
      <c r="E25" s="263"/>
      <c r="F25" s="265"/>
      <c r="I25" s="539"/>
    </row>
    <row r="26" spans="1:9" s="271" customFormat="1" ht="10.5">
      <c r="A26" s="537"/>
      <c r="B26" s="542"/>
      <c r="C26" s="267"/>
      <c r="D26" s="269"/>
      <c r="E26" s="267"/>
      <c r="F26" s="270"/>
      <c r="I26" s="543"/>
    </row>
    <row r="27" spans="1:9" ht="14.25" customHeight="1">
      <c r="A27" s="544" t="s">
        <v>262</v>
      </c>
      <c r="B27" s="262"/>
      <c r="I27" s="545"/>
    </row>
    <row r="28" spans="1:9" ht="87.75">
      <c r="A28" s="546"/>
      <c r="B28" s="547"/>
      <c r="C28" s="548" t="s">
        <v>263</v>
      </c>
      <c r="D28" s="549"/>
      <c r="E28" s="549"/>
      <c r="F28" s="549"/>
      <c r="G28" s="549"/>
      <c r="H28" s="549"/>
      <c r="I28" s="550"/>
    </row>
    <row r="29" spans="3:9" ht="12">
      <c r="C29" s="280"/>
      <c r="D29" s="262"/>
      <c r="E29" s="262"/>
      <c r="F29" s="262"/>
      <c r="G29" s="262"/>
      <c r="H29" s="262"/>
      <c r="I29" s="279"/>
    </row>
    <row r="30" spans="1:9" s="284" customFormat="1" ht="12">
      <c r="A30" s="281" t="s">
        <v>264</v>
      </c>
      <c r="B30" s="281"/>
      <c r="C30" s="282" t="s">
        <v>265</v>
      </c>
      <c r="D30" s="623" t="s">
        <v>266</v>
      </c>
      <c r="E30" s="623" t="s">
        <v>2</v>
      </c>
      <c r="F30" s="623" t="s">
        <v>3</v>
      </c>
      <c r="G30" s="283"/>
      <c r="H30" s="283" t="s">
        <v>360</v>
      </c>
      <c r="I30" s="283"/>
    </row>
    <row r="31" spans="3:9" ht="12">
      <c r="C31" s="285"/>
      <c r="D31" s="611"/>
      <c r="E31" s="611"/>
      <c r="F31" s="611"/>
      <c r="G31" s="286"/>
      <c r="H31" s="286"/>
      <c r="I31" s="287"/>
    </row>
    <row r="32" spans="1:9" ht="21.75">
      <c r="A32" s="652"/>
      <c r="B32" s="624"/>
      <c r="C32" s="625" t="s">
        <v>268</v>
      </c>
      <c r="D32" s="600"/>
      <c r="E32" s="600"/>
      <c r="F32" s="626"/>
      <c r="G32" s="523" t="s">
        <v>358</v>
      </c>
      <c r="H32" s="523" t="s">
        <v>359</v>
      </c>
      <c r="I32" s="524" t="s">
        <v>8</v>
      </c>
    </row>
    <row r="33" spans="1:9" ht="12">
      <c r="A33" s="279" t="s">
        <v>262</v>
      </c>
      <c r="B33" s="262"/>
      <c r="C33" s="627"/>
      <c r="D33" s="611"/>
      <c r="E33" s="599"/>
      <c r="G33" s="571"/>
      <c r="I33" s="571"/>
    </row>
    <row r="34" spans="1:9" ht="87.75">
      <c r="A34" s="288"/>
      <c r="B34" s="288"/>
      <c r="C34" s="628" t="s">
        <v>263</v>
      </c>
      <c r="D34" s="612"/>
      <c r="E34" s="600"/>
      <c r="F34" s="289"/>
      <c r="G34" s="572"/>
      <c r="H34" s="289"/>
      <c r="I34" s="572"/>
    </row>
    <row r="35" spans="1:9" ht="12">
      <c r="A35" s="290"/>
      <c r="B35" s="275"/>
      <c r="C35" s="629"/>
      <c r="D35" s="611"/>
      <c r="E35" s="599"/>
      <c r="G35" s="589"/>
      <c r="H35" s="286"/>
      <c r="I35" s="573"/>
    </row>
    <row r="36" spans="1:9" s="272" customFormat="1" ht="21.75">
      <c r="A36" s="291">
        <f>$B$32</f>
        <v>0</v>
      </c>
      <c r="B36" s="292">
        <f>COUNT(#REF!)+1</f>
        <v>1</v>
      </c>
      <c r="C36" s="630" t="s">
        <v>269</v>
      </c>
      <c r="D36" s="613" t="s">
        <v>57</v>
      </c>
      <c r="E36" s="601">
        <v>3</v>
      </c>
      <c r="F36" s="350"/>
      <c r="G36" s="590">
        <f>F36*E36</f>
        <v>0</v>
      </c>
      <c r="H36" s="295" t="s">
        <v>362</v>
      </c>
      <c r="I36" s="574">
        <f>SUM(G36:H36)</f>
        <v>0</v>
      </c>
    </row>
    <row r="37" spans="1:9" s="272" customFormat="1" ht="99.75" customHeight="1">
      <c r="A37" s="296"/>
      <c r="B37" s="297"/>
      <c r="C37" s="631" t="s">
        <v>369</v>
      </c>
      <c r="D37" s="614"/>
      <c r="E37" s="602"/>
      <c r="F37" s="351"/>
      <c r="G37" s="333"/>
      <c r="H37" s="298"/>
      <c r="I37" s="575"/>
    </row>
    <row r="38" spans="1:9" s="272" customFormat="1" ht="12" customHeight="1">
      <c r="A38" s="299"/>
      <c r="B38" s="300"/>
      <c r="C38" s="632"/>
      <c r="D38" s="615"/>
      <c r="E38" s="603"/>
      <c r="F38" s="352"/>
      <c r="G38" s="591"/>
      <c r="H38" s="302"/>
      <c r="I38" s="576"/>
    </row>
    <row r="39" spans="1:9" s="272" customFormat="1" ht="10.5">
      <c r="A39" s="303" t="s">
        <v>229</v>
      </c>
      <c r="B39" s="292">
        <f>COUNT($B35:B$38)+1</f>
        <v>2</v>
      </c>
      <c r="C39" s="630" t="s">
        <v>270</v>
      </c>
      <c r="D39" s="613" t="s">
        <v>57</v>
      </c>
      <c r="E39" s="601">
        <v>1</v>
      </c>
      <c r="F39" s="350"/>
      <c r="G39" s="590">
        <f>F39*E39</f>
        <v>0</v>
      </c>
      <c r="H39" s="294" t="s">
        <v>362</v>
      </c>
      <c r="I39" s="574">
        <f>SUM(G39:H39)</f>
        <v>0</v>
      </c>
    </row>
    <row r="40" spans="1:9" s="272" customFormat="1" ht="43.5">
      <c r="A40" s="299"/>
      <c r="B40" s="300"/>
      <c r="C40" s="633" t="s">
        <v>370</v>
      </c>
      <c r="D40" s="615"/>
      <c r="E40" s="603"/>
      <c r="F40" s="352"/>
      <c r="G40" s="591"/>
      <c r="H40" s="302"/>
      <c r="I40" s="576"/>
    </row>
    <row r="41" spans="1:9" s="272" customFormat="1" ht="43.5">
      <c r="A41" s="299"/>
      <c r="B41" s="300"/>
      <c r="C41" s="633" t="s">
        <v>370</v>
      </c>
      <c r="D41" s="615"/>
      <c r="E41" s="603"/>
      <c r="F41" s="352"/>
      <c r="G41" s="591"/>
      <c r="H41" s="302"/>
      <c r="I41" s="576"/>
    </row>
    <row r="42" spans="1:9" s="272" customFormat="1" ht="76.5">
      <c r="A42" s="299"/>
      <c r="B42" s="300"/>
      <c r="C42" s="633" t="s">
        <v>371</v>
      </c>
      <c r="D42" s="615"/>
      <c r="E42" s="603"/>
      <c r="F42" s="352"/>
      <c r="G42" s="591"/>
      <c r="H42" s="302"/>
      <c r="I42" s="576"/>
    </row>
    <row r="43" spans="1:9" s="272" customFormat="1" ht="33">
      <c r="A43" s="299"/>
      <c r="B43" s="300"/>
      <c r="C43" s="633" t="s">
        <v>372</v>
      </c>
      <c r="D43" s="615"/>
      <c r="E43" s="603"/>
      <c r="F43" s="352"/>
      <c r="G43" s="591"/>
      <c r="H43" s="302"/>
      <c r="I43" s="576"/>
    </row>
    <row r="44" spans="1:9" s="272" customFormat="1" ht="21.75">
      <c r="A44" s="296"/>
      <c r="B44" s="297"/>
      <c r="C44" s="634" t="s">
        <v>373</v>
      </c>
      <c r="D44" s="614"/>
      <c r="E44" s="602"/>
      <c r="F44" s="351"/>
      <c r="G44" s="333"/>
      <c r="H44" s="298"/>
      <c r="I44" s="575"/>
    </row>
    <row r="45" spans="1:9" s="272" customFormat="1" ht="12" customHeight="1">
      <c r="A45" s="299"/>
      <c r="B45" s="300"/>
      <c r="C45" s="632"/>
      <c r="D45" s="615"/>
      <c r="E45" s="603"/>
      <c r="F45" s="352"/>
      <c r="G45" s="591"/>
      <c r="H45" s="302"/>
      <c r="I45" s="576"/>
    </row>
    <row r="46" spans="1:9" s="272" customFormat="1" ht="10.5">
      <c r="A46" s="303" t="s">
        <v>229</v>
      </c>
      <c r="B46" s="292">
        <f>COUNT($B36:B$45)+1</f>
        <v>3</v>
      </c>
      <c r="C46" s="630" t="s">
        <v>271</v>
      </c>
      <c r="D46" s="613" t="s">
        <v>57</v>
      </c>
      <c r="E46" s="604">
        <v>1</v>
      </c>
      <c r="F46" s="350"/>
      <c r="G46" s="590">
        <f>F46*E46</f>
        <v>0</v>
      </c>
      <c r="H46" s="294" t="s">
        <v>362</v>
      </c>
      <c r="I46" s="574">
        <f>SUM(G46:H46)</f>
        <v>0</v>
      </c>
    </row>
    <row r="47" spans="1:9" s="272" customFormat="1" ht="184.5" customHeight="1">
      <c r="A47" s="299"/>
      <c r="B47" s="300"/>
      <c r="C47" s="633" t="s">
        <v>374</v>
      </c>
      <c r="D47" s="615"/>
      <c r="E47" s="603"/>
      <c r="F47" s="352"/>
      <c r="G47" s="591"/>
      <c r="H47" s="302"/>
      <c r="I47" s="576"/>
    </row>
    <row r="48" spans="1:9" s="272" customFormat="1" ht="43.5">
      <c r="A48" s="299"/>
      <c r="B48" s="300"/>
      <c r="C48" s="633" t="s">
        <v>375</v>
      </c>
      <c r="D48" s="615"/>
      <c r="E48" s="603"/>
      <c r="F48" s="352"/>
      <c r="G48" s="591"/>
      <c r="H48" s="302"/>
      <c r="I48" s="576"/>
    </row>
    <row r="49" spans="1:9" s="272" customFormat="1" ht="43.5">
      <c r="A49" s="296"/>
      <c r="B49" s="296" t="s">
        <v>272</v>
      </c>
      <c r="C49" s="634" t="s">
        <v>376</v>
      </c>
      <c r="D49" s="614"/>
      <c r="E49" s="602"/>
      <c r="F49" s="351"/>
      <c r="G49" s="333"/>
      <c r="H49" s="298"/>
      <c r="I49" s="575"/>
    </row>
    <row r="50" spans="1:9" s="272" customFormat="1" ht="10.5">
      <c r="A50" s="299"/>
      <c r="B50" s="300"/>
      <c r="C50" s="632"/>
      <c r="D50" s="615"/>
      <c r="E50" s="603"/>
      <c r="F50" s="352"/>
      <c r="G50" s="591"/>
      <c r="H50" s="302"/>
      <c r="I50" s="576"/>
    </row>
    <row r="51" spans="1:9" s="272" customFormat="1" ht="10.5">
      <c r="A51" s="303" t="s">
        <v>229</v>
      </c>
      <c r="B51" s="292">
        <f>COUNT($B36:B$50)+1</f>
        <v>4</v>
      </c>
      <c r="C51" s="630" t="s">
        <v>273</v>
      </c>
      <c r="D51" s="613" t="s">
        <v>57</v>
      </c>
      <c r="E51" s="601">
        <v>1</v>
      </c>
      <c r="F51" s="350"/>
      <c r="G51" s="590">
        <f>F51*E51</f>
        <v>0</v>
      </c>
      <c r="H51" s="294" t="s">
        <v>362</v>
      </c>
      <c r="I51" s="574">
        <f>SUM(G51:H51)</f>
        <v>0</v>
      </c>
    </row>
    <row r="52" spans="1:9" s="272" customFormat="1" ht="24.75" customHeight="1">
      <c r="A52" s="299"/>
      <c r="B52" s="300"/>
      <c r="C52" s="633" t="s">
        <v>377</v>
      </c>
      <c r="D52" s="615"/>
      <c r="E52" s="603"/>
      <c r="F52" s="352"/>
      <c r="G52" s="591"/>
      <c r="H52" s="302"/>
      <c r="I52" s="576"/>
    </row>
    <row r="53" spans="1:9" s="272" customFormat="1" ht="21.75">
      <c r="A53" s="299"/>
      <c r="B53" s="300"/>
      <c r="C53" s="633" t="s">
        <v>378</v>
      </c>
      <c r="D53" s="615"/>
      <c r="E53" s="603"/>
      <c r="F53" s="352"/>
      <c r="G53" s="591"/>
      <c r="H53" s="302"/>
      <c r="I53" s="576"/>
    </row>
    <row r="54" spans="1:9" s="272" customFormat="1" ht="66">
      <c r="A54" s="299"/>
      <c r="B54" s="299" t="s">
        <v>272</v>
      </c>
      <c r="C54" s="633" t="s">
        <v>379</v>
      </c>
      <c r="D54" s="615"/>
      <c r="E54" s="603"/>
      <c r="F54" s="352"/>
      <c r="G54" s="591"/>
      <c r="H54" s="302"/>
      <c r="I54" s="576"/>
    </row>
    <row r="55" spans="1:9" s="272" customFormat="1" ht="21.75">
      <c r="A55" s="299"/>
      <c r="B55" s="299" t="s">
        <v>272</v>
      </c>
      <c r="C55" s="633" t="s">
        <v>380</v>
      </c>
      <c r="D55" s="615"/>
      <c r="E55" s="603"/>
      <c r="F55" s="352"/>
      <c r="G55" s="591"/>
      <c r="H55" s="302"/>
      <c r="I55" s="576"/>
    </row>
    <row r="56" spans="1:9" s="272" customFormat="1" ht="21.75">
      <c r="A56" s="296"/>
      <c r="B56" s="296" t="s">
        <v>272</v>
      </c>
      <c r="C56" s="634" t="s">
        <v>381</v>
      </c>
      <c r="D56" s="614"/>
      <c r="E56" s="602"/>
      <c r="F56" s="351"/>
      <c r="G56" s="333"/>
      <c r="H56" s="298"/>
      <c r="I56" s="575"/>
    </row>
    <row r="57" spans="1:9" s="272" customFormat="1" ht="10.5">
      <c r="A57" s="299"/>
      <c r="B57" s="300"/>
      <c r="C57" s="632"/>
      <c r="D57" s="615"/>
      <c r="E57" s="603"/>
      <c r="F57" s="352"/>
      <c r="G57" s="591"/>
      <c r="H57" s="302"/>
      <c r="I57" s="576"/>
    </row>
    <row r="58" spans="1:9" s="272" customFormat="1" ht="10.5">
      <c r="A58" s="303" t="s">
        <v>229</v>
      </c>
      <c r="B58" s="292">
        <f>COUNT($B36:B$57)+1</f>
        <v>5</v>
      </c>
      <c r="C58" s="630" t="s">
        <v>274</v>
      </c>
      <c r="D58" s="613" t="s">
        <v>57</v>
      </c>
      <c r="E58" s="601">
        <v>1</v>
      </c>
      <c r="F58" s="350"/>
      <c r="G58" s="590">
        <f>F58*E58</f>
        <v>0</v>
      </c>
      <c r="H58" s="294" t="s">
        <v>362</v>
      </c>
      <c r="I58" s="574">
        <f>SUM(G58:H58)</f>
        <v>0</v>
      </c>
    </row>
    <row r="59" spans="1:9" s="272" customFormat="1" ht="24.75" customHeight="1">
      <c r="A59" s="296"/>
      <c r="B59" s="297"/>
      <c r="C59" s="634" t="s">
        <v>382</v>
      </c>
      <c r="D59" s="614"/>
      <c r="E59" s="602"/>
      <c r="F59" s="351"/>
      <c r="G59" s="333"/>
      <c r="H59" s="298"/>
      <c r="I59" s="575"/>
    </row>
    <row r="60" spans="1:9" s="307" customFormat="1" ht="10.5">
      <c r="A60" s="304"/>
      <c r="B60" s="300"/>
      <c r="C60" s="632"/>
      <c r="D60" s="616"/>
      <c r="E60" s="605"/>
      <c r="F60" s="353"/>
      <c r="G60" s="591"/>
      <c r="H60" s="305"/>
      <c r="I60" s="577"/>
    </row>
    <row r="61" spans="1:9" s="272" customFormat="1" ht="10.5">
      <c r="A61" s="303" t="s">
        <v>229</v>
      </c>
      <c r="B61" s="292">
        <f>COUNT($B36:B$60)+1</f>
        <v>6</v>
      </c>
      <c r="C61" s="630" t="s">
        <v>383</v>
      </c>
      <c r="D61" s="613" t="s">
        <v>57</v>
      </c>
      <c r="E61" s="601">
        <v>1</v>
      </c>
      <c r="F61" s="350"/>
      <c r="G61" s="590">
        <f>F61*E61</f>
        <v>0</v>
      </c>
      <c r="H61" s="294" t="s">
        <v>362</v>
      </c>
      <c r="I61" s="574">
        <f>SUM(G61:H61)</f>
        <v>0</v>
      </c>
    </row>
    <row r="62" spans="1:9" s="272" customFormat="1" ht="198">
      <c r="A62" s="299"/>
      <c r="B62" s="300"/>
      <c r="C62" s="633" t="s">
        <v>384</v>
      </c>
      <c r="D62" s="617"/>
      <c r="E62" s="606"/>
      <c r="F62" s="355"/>
      <c r="G62" s="591"/>
      <c r="H62" s="312"/>
      <c r="I62" s="576"/>
    </row>
    <row r="63" spans="1:9" s="272" customFormat="1" ht="217.5" customHeight="1">
      <c r="A63" s="296"/>
      <c r="B63" s="297"/>
      <c r="C63" s="634" t="s">
        <v>385</v>
      </c>
      <c r="D63" s="614"/>
      <c r="E63" s="602"/>
      <c r="F63" s="351"/>
      <c r="G63" s="333"/>
      <c r="H63" s="298"/>
      <c r="I63" s="575"/>
    </row>
    <row r="64" spans="1:9" s="272" customFormat="1" ht="10.5">
      <c r="A64" s="299"/>
      <c r="B64" s="300"/>
      <c r="C64" s="633"/>
      <c r="D64" s="615"/>
      <c r="E64" s="603"/>
      <c r="F64" s="352"/>
      <c r="G64" s="591"/>
      <c r="H64" s="302"/>
      <c r="I64" s="576"/>
    </row>
    <row r="65" spans="1:9" s="272" customFormat="1" ht="21.75">
      <c r="A65" s="308" t="s">
        <v>229</v>
      </c>
      <c r="B65" s="309">
        <f>COUNT($B36:B$63)+1</f>
        <v>7</v>
      </c>
      <c r="C65" s="328" t="s">
        <v>275</v>
      </c>
      <c r="D65" s="327" t="s">
        <v>57</v>
      </c>
      <c r="E65" s="323">
        <v>1</v>
      </c>
      <c r="F65" s="354"/>
      <c r="G65" s="334">
        <f>F65*E65</f>
        <v>0</v>
      </c>
      <c r="H65" s="310" t="s">
        <v>362</v>
      </c>
      <c r="I65" s="325">
        <f>SUM(G65:H65)</f>
        <v>0</v>
      </c>
    </row>
    <row r="66" spans="1:9" s="272" customFormat="1" ht="12">
      <c r="A66" s="299"/>
      <c r="B66" s="300"/>
      <c r="C66" s="635"/>
      <c r="D66" s="615"/>
      <c r="E66" s="603"/>
      <c r="F66" s="352"/>
      <c r="G66" s="591"/>
      <c r="H66" s="302"/>
      <c r="I66" s="576"/>
    </row>
    <row r="67" spans="1:9" s="272" customFormat="1" ht="21.75">
      <c r="A67" s="308" t="s">
        <v>229</v>
      </c>
      <c r="B67" s="309">
        <f>COUNT($B36:B$66)+1</f>
        <v>8</v>
      </c>
      <c r="C67" s="328" t="s">
        <v>276</v>
      </c>
      <c r="D67" s="327" t="s">
        <v>57</v>
      </c>
      <c r="E67" s="323">
        <v>1</v>
      </c>
      <c r="F67" s="354"/>
      <c r="G67" s="324" t="s">
        <v>277</v>
      </c>
      <c r="H67" s="311">
        <f>F67*E67</f>
        <v>0</v>
      </c>
      <c r="I67" s="325">
        <f>SUM(G67:H67)</f>
        <v>0</v>
      </c>
    </row>
    <row r="68" spans="1:9" s="272" customFormat="1" ht="10.5">
      <c r="A68" s="299"/>
      <c r="B68" s="300"/>
      <c r="C68" s="636"/>
      <c r="D68" s="617"/>
      <c r="E68" s="606"/>
      <c r="F68" s="355"/>
      <c r="G68" s="592"/>
      <c r="H68" s="312"/>
      <c r="I68" s="578"/>
    </row>
    <row r="69" spans="1:9" s="272" customFormat="1" ht="21.75">
      <c r="A69" s="551" t="s">
        <v>229</v>
      </c>
      <c r="B69" s="292">
        <f>COUNT($B36:B$68)+1</f>
        <v>9</v>
      </c>
      <c r="C69" s="630" t="s">
        <v>395</v>
      </c>
      <c r="D69" s="613" t="s">
        <v>57</v>
      </c>
      <c r="E69" s="601">
        <v>2</v>
      </c>
      <c r="F69" s="350"/>
      <c r="G69" s="593">
        <f>F69*E69</f>
        <v>0</v>
      </c>
      <c r="H69" s="313" t="s">
        <v>362</v>
      </c>
      <c r="I69" s="574">
        <f>SUM(G69:H69)</f>
        <v>0</v>
      </c>
    </row>
    <row r="70" spans="1:9" s="307" customFormat="1" ht="43.5">
      <c r="A70" s="552"/>
      <c r="B70" s="300"/>
      <c r="C70" s="632" t="s">
        <v>396</v>
      </c>
      <c r="D70" s="615"/>
      <c r="E70" s="603"/>
      <c r="F70" s="358"/>
      <c r="G70" s="591"/>
      <c r="H70" s="316"/>
      <c r="I70" s="579"/>
    </row>
    <row r="71" spans="1:9" s="307" customFormat="1" ht="54.75">
      <c r="A71" s="553"/>
      <c r="B71" s="297"/>
      <c r="C71" s="634" t="s">
        <v>386</v>
      </c>
      <c r="D71" s="614"/>
      <c r="E71" s="602"/>
      <c r="F71" s="357"/>
      <c r="G71" s="333"/>
      <c r="H71" s="314"/>
      <c r="I71" s="580"/>
    </row>
    <row r="72" spans="1:9" s="272" customFormat="1" ht="10.5">
      <c r="A72" s="299"/>
      <c r="B72" s="300"/>
      <c r="C72" s="636"/>
      <c r="D72" s="617"/>
      <c r="E72" s="606"/>
      <c r="F72" s="355"/>
      <c r="G72" s="591"/>
      <c r="H72" s="312"/>
      <c r="I72" s="578"/>
    </row>
    <row r="73" spans="1:9" s="272" customFormat="1" ht="10.5">
      <c r="A73" s="551" t="s">
        <v>229</v>
      </c>
      <c r="B73" s="646">
        <f>COUNT($B36:B$72)+1</f>
        <v>10</v>
      </c>
      <c r="C73" s="653" t="s">
        <v>278</v>
      </c>
      <c r="D73" s="613" t="s">
        <v>57</v>
      </c>
      <c r="E73" s="601">
        <v>1</v>
      </c>
      <c r="F73" s="350"/>
      <c r="G73" s="593">
        <f>F73*E73</f>
        <v>0</v>
      </c>
      <c r="H73" s="313" t="s">
        <v>362</v>
      </c>
      <c r="I73" s="574">
        <f>SUM(G73:H73)</f>
        <v>0</v>
      </c>
    </row>
    <row r="74" spans="1:9" s="307" customFormat="1" ht="21.75">
      <c r="A74" s="552"/>
      <c r="B74" s="647"/>
      <c r="C74" s="654" t="s">
        <v>387</v>
      </c>
      <c r="D74" s="615"/>
      <c r="E74" s="603"/>
      <c r="F74" s="358"/>
      <c r="G74" s="591"/>
      <c r="H74" s="316"/>
      <c r="I74" s="579"/>
    </row>
    <row r="75" spans="1:9" s="307" customFormat="1" ht="66">
      <c r="A75" s="552"/>
      <c r="B75" s="647"/>
      <c r="C75" s="654" t="s">
        <v>388</v>
      </c>
      <c r="D75" s="615"/>
      <c r="E75" s="603"/>
      <c r="F75" s="358"/>
      <c r="G75" s="591"/>
      <c r="H75" s="316"/>
      <c r="I75" s="579"/>
    </row>
    <row r="76" spans="1:9" s="272" customFormat="1" ht="21.75">
      <c r="A76" s="552"/>
      <c r="B76" s="647"/>
      <c r="C76" s="654" t="s">
        <v>389</v>
      </c>
      <c r="D76" s="617"/>
      <c r="E76" s="606"/>
      <c r="F76" s="355"/>
      <c r="G76" s="591"/>
      <c r="H76" s="312"/>
      <c r="I76" s="578"/>
    </row>
    <row r="77" spans="1:9" s="272" customFormat="1" ht="54.75">
      <c r="A77" s="553"/>
      <c r="B77" s="648"/>
      <c r="C77" s="655" t="s">
        <v>390</v>
      </c>
      <c r="D77" s="618"/>
      <c r="E77" s="331"/>
      <c r="F77" s="554"/>
      <c r="G77" s="333"/>
      <c r="H77" s="555"/>
      <c r="I77" s="581"/>
    </row>
    <row r="78" spans="1:9" s="272" customFormat="1" ht="10.5">
      <c r="A78" s="299"/>
      <c r="B78" s="300"/>
      <c r="C78" s="636"/>
      <c r="D78" s="617"/>
      <c r="E78" s="606"/>
      <c r="F78" s="355"/>
      <c r="G78" s="591"/>
      <c r="H78" s="312"/>
      <c r="I78" s="578"/>
    </row>
    <row r="79" spans="1:9" s="272" customFormat="1" ht="10.5">
      <c r="A79" s="303" t="s">
        <v>229</v>
      </c>
      <c r="B79" s="292">
        <f>COUNT($B36:B$76)+1</f>
        <v>11</v>
      </c>
      <c r="C79" s="630" t="s">
        <v>279</v>
      </c>
      <c r="D79" s="613" t="s">
        <v>57</v>
      </c>
      <c r="E79" s="601">
        <v>3</v>
      </c>
      <c r="F79" s="356"/>
      <c r="G79" s="590">
        <f>F79*E79</f>
        <v>0</v>
      </c>
      <c r="H79" s="313" t="s">
        <v>362</v>
      </c>
      <c r="I79" s="574">
        <f>SUM(G79:H79)</f>
        <v>0</v>
      </c>
    </row>
    <row r="80" spans="1:9" s="272" customFormat="1" ht="76.5">
      <c r="A80" s="296"/>
      <c r="B80" s="297"/>
      <c r="C80" s="634" t="s">
        <v>391</v>
      </c>
      <c r="D80" s="614"/>
      <c r="E80" s="602"/>
      <c r="F80" s="357"/>
      <c r="G80" s="333"/>
      <c r="H80" s="314"/>
      <c r="I80" s="580"/>
    </row>
    <row r="81" spans="1:9" s="272" customFormat="1" ht="10.5">
      <c r="A81" s="299"/>
      <c r="B81" s="300"/>
      <c r="C81" s="636"/>
      <c r="D81" s="617"/>
      <c r="E81" s="606"/>
      <c r="F81" s="355"/>
      <c r="G81" s="592"/>
      <c r="H81" s="312"/>
      <c r="I81" s="578"/>
    </row>
    <row r="82" spans="1:9" s="272" customFormat="1" ht="10.5">
      <c r="A82" s="303" t="s">
        <v>229</v>
      </c>
      <c r="B82" s="292">
        <f>COUNT($B36:B$81)+1</f>
        <v>12</v>
      </c>
      <c r="C82" s="630" t="s">
        <v>280</v>
      </c>
      <c r="D82" s="613"/>
      <c r="E82" s="601"/>
      <c r="F82" s="356"/>
      <c r="G82" s="593"/>
      <c r="H82" s="313"/>
      <c r="I82" s="582"/>
    </row>
    <row r="83" spans="1:9" s="307" customFormat="1" ht="21.75">
      <c r="A83" s="299"/>
      <c r="B83" s="300"/>
      <c r="C83" s="632" t="s">
        <v>281</v>
      </c>
      <c r="D83" s="615"/>
      <c r="E83" s="603"/>
      <c r="F83" s="358"/>
      <c r="G83" s="594"/>
      <c r="H83" s="316"/>
      <c r="I83" s="579"/>
    </row>
    <row r="84" spans="1:9" s="272" customFormat="1" ht="12.75" customHeight="1">
      <c r="A84" s="317"/>
      <c r="B84" s="300"/>
      <c r="C84" s="637" t="s">
        <v>282</v>
      </c>
      <c r="D84" s="617" t="s">
        <v>196</v>
      </c>
      <c r="E84" s="606">
        <v>2</v>
      </c>
      <c r="F84" s="359"/>
      <c r="G84" s="595" t="s">
        <v>277</v>
      </c>
      <c r="H84" s="318">
        <f>F84*E84</f>
        <v>0</v>
      </c>
      <c r="I84" s="576">
        <f>SUM(G84:H84)</f>
        <v>0</v>
      </c>
    </row>
    <row r="85" spans="1:9" s="272" customFormat="1" ht="12.75" customHeight="1">
      <c r="A85" s="317"/>
      <c r="B85" s="300"/>
      <c r="C85" s="637" t="s">
        <v>283</v>
      </c>
      <c r="D85" s="617" t="s">
        <v>196</v>
      </c>
      <c r="E85" s="606">
        <v>6</v>
      </c>
      <c r="F85" s="359"/>
      <c r="G85" s="595" t="s">
        <v>277</v>
      </c>
      <c r="H85" s="318">
        <f>F85*E85</f>
        <v>0</v>
      </c>
      <c r="I85" s="576">
        <f>SUM(G85:H85)</f>
        <v>0</v>
      </c>
    </row>
    <row r="86" spans="1:9" s="272" customFormat="1" ht="12.75" customHeight="1">
      <c r="A86" s="319"/>
      <c r="B86" s="297"/>
      <c r="C86" s="638" t="s">
        <v>284</v>
      </c>
      <c r="D86" s="618" t="s">
        <v>196</v>
      </c>
      <c r="E86" s="331">
        <v>2</v>
      </c>
      <c r="F86" s="360"/>
      <c r="G86" s="332" t="s">
        <v>277</v>
      </c>
      <c r="H86" s="320">
        <f>F86*E86</f>
        <v>0</v>
      </c>
      <c r="I86" s="575">
        <f>SUM(G86:H86)</f>
        <v>0</v>
      </c>
    </row>
    <row r="87" spans="1:9" s="272" customFormat="1" ht="10.5">
      <c r="A87" s="299"/>
      <c r="B87" s="300"/>
      <c r="C87" s="636"/>
      <c r="D87" s="617"/>
      <c r="E87" s="606"/>
      <c r="F87" s="355"/>
      <c r="G87" s="592"/>
      <c r="H87" s="312"/>
      <c r="I87" s="578"/>
    </row>
    <row r="88" spans="1:9" s="307" customFormat="1" ht="10.5">
      <c r="A88" s="303" t="s">
        <v>229</v>
      </c>
      <c r="B88" s="292">
        <f>COUNT($B36:B$87)+1</f>
        <v>13</v>
      </c>
      <c r="C88" s="630" t="s">
        <v>285</v>
      </c>
      <c r="D88" s="613"/>
      <c r="E88" s="601"/>
      <c r="F88" s="356"/>
      <c r="G88" s="593"/>
      <c r="H88" s="313"/>
      <c r="I88" s="582"/>
    </row>
    <row r="89" spans="1:9" s="307" customFormat="1" ht="21.75">
      <c r="A89" s="299"/>
      <c r="B89" s="300"/>
      <c r="C89" s="632" t="s">
        <v>281</v>
      </c>
      <c r="D89" s="615"/>
      <c r="E89" s="603"/>
      <c r="F89" s="358"/>
      <c r="G89" s="594"/>
      <c r="H89" s="316"/>
      <c r="I89" s="579"/>
    </row>
    <row r="90" spans="1:9" s="307" customFormat="1" ht="14.25" customHeight="1">
      <c r="A90" s="319"/>
      <c r="B90" s="297"/>
      <c r="C90" s="638" t="s">
        <v>284</v>
      </c>
      <c r="D90" s="618" t="s">
        <v>196</v>
      </c>
      <c r="E90" s="331">
        <v>1</v>
      </c>
      <c r="F90" s="360"/>
      <c r="G90" s="332" t="s">
        <v>277</v>
      </c>
      <c r="H90" s="320">
        <f>F90*E90</f>
        <v>0</v>
      </c>
      <c r="I90" s="575">
        <f>SUM(G90:H90)</f>
        <v>0</v>
      </c>
    </row>
    <row r="91" spans="1:9" s="272" customFormat="1" ht="10.5">
      <c r="A91" s="299"/>
      <c r="B91" s="300"/>
      <c r="C91" s="636"/>
      <c r="D91" s="617"/>
      <c r="E91" s="606"/>
      <c r="F91" s="355"/>
      <c r="G91" s="592"/>
      <c r="H91" s="318"/>
      <c r="I91" s="578"/>
    </row>
    <row r="92" spans="1:9" s="272" customFormat="1" ht="10.5">
      <c r="A92" s="303" t="s">
        <v>229</v>
      </c>
      <c r="B92" s="292">
        <f>COUNT($B36:B$91)+1</f>
        <v>14</v>
      </c>
      <c r="C92" s="630" t="s">
        <v>286</v>
      </c>
      <c r="D92" s="613"/>
      <c r="E92" s="601"/>
      <c r="F92" s="356"/>
      <c r="G92" s="593"/>
      <c r="H92" s="313"/>
      <c r="I92" s="582"/>
    </row>
    <row r="93" spans="1:9" s="272" customFormat="1" ht="21.75">
      <c r="A93" s="299"/>
      <c r="B93" s="300"/>
      <c r="C93" s="632" t="s">
        <v>281</v>
      </c>
      <c r="D93" s="615"/>
      <c r="E93" s="603"/>
      <c r="F93" s="358"/>
      <c r="G93" s="594"/>
      <c r="H93" s="318"/>
      <c r="I93" s="579"/>
    </row>
    <row r="94" spans="1:9" s="272" customFormat="1" ht="10.5">
      <c r="A94" s="317"/>
      <c r="B94" s="300"/>
      <c r="C94" s="637" t="s">
        <v>282</v>
      </c>
      <c r="D94" s="617" t="s">
        <v>196</v>
      </c>
      <c r="E94" s="606">
        <v>3</v>
      </c>
      <c r="F94" s="359"/>
      <c r="G94" s="595" t="s">
        <v>277</v>
      </c>
      <c r="H94" s="318">
        <f>F94*E94</f>
        <v>0</v>
      </c>
      <c r="I94" s="576">
        <f>SUM(G94:H94)</f>
        <v>0</v>
      </c>
    </row>
    <row r="95" spans="1:9" s="272" customFormat="1" ht="10.5">
      <c r="A95" s="319"/>
      <c r="B95" s="297"/>
      <c r="C95" s="638" t="s">
        <v>283</v>
      </c>
      <c r="D95" s="618" t="s">
        <v>196</v>
      </c>
      <c r="E95" s="331">
        <v>3</v>
      </c>
      <c r="F95" s="360"/>
      <c r="G95" s="332" t="s">
        <v>277</v>
      </c>
      <c r="H95" s="320">
        <f>F95*E95</f>
        <v>0</v>
      </c>
      <c r="I95" s="575">
        <f>SUM(G95:H95)</f>
        <v>0</v>
      </c>
    </row>
    <row r="96" spans="1:9" s="272" customFormat="1" ht="10.5">
      <c r="A96" s="299"/>
      <c r="B96" s="300"/>
      <c r="C96" s="636"/>
      <c r="D96" s="617"/>
      <c r="E96" s="606"/>
      <c r="F96" s="355"/>
      <c r="G96" s="592"/>
      <c r="H96" s="318"/>
      <c r="I96" s="578"/>
    </row>
    <row r="97" spans="1:9" s="272" customFormat="1" ht="10.5">
      <c r="A97" s="303" t="s">
        <v>229</v>
      </c>
      <c r="B97" s="292">
        <f>COUNT($B36:B$96)+1</f>
        <v>15</v>
      </c>
      <c r="C97" s="630" t="s">
        <v>287</v>
      </c>
      <c r="D97" s="613"/>
      <c r="E97" s="601"/>
      <c r="F97" s="356"/>
      <c r="G97" s="593"/>
      <c r="H97" s="313"/>
      <c r="I97" s="582"/>
    </row>
    <row r="98" spans="1:9" s="272" customFormat="1" ht="21.75">
      <c r="A98" s="299"/>
      <c r="B98" s="300"/>
      <c r="C98" s="632" t="s">
        <v>281</v>
      </c>
      <c r="D98" s="615"/>
      <c r="E98" s="603"/>
      <c r="F98" s="358"/>
      <c r="G98" s="594"/>
      <c r="H98" s="318"/>
      <c r="I98" s="579"/>
    </row>
    <row r="99" spans="1:9" s="272" customFormat="1" ht="10.5">
      <c r="A99" s="319"/>
      <c r="B99" s="297"/>
      <c r="C99" s="638" t="s">
        <v>283</v>
      </c>
      <c r="D99" s="618" t="s">
        <v>196</v>
      </c>
      <c r="E99" s="331">
        <v>3</v>
      </c>
      <c r="F99" s="360"/>
      <c r="G99" s="332" t="s">
        <v>277</v>
      </c>
      <c r="H99" s="320">
        <f>F99*E99</f>
        <v>0</v>
      </c>
      <c r="I99" s="575">
        <f>SUM(G99:H99)</f>
        <v>0</v>
      </c>
    </row>
    <row r="100" spans="1:9" s="272" customFormat="1" ht="10.5">
      <c r="A100" s="299"/>
      <c r="B100" s="300"/>
      <c r="C100" s="636"/>
      <c r="D100" s="617"/>
      <c r="E100" s="606"/>
      <c r="F100" s="355"/>
      <c r="G100" s="592"/>
      <c r="H100" s="318"/>
      <c r="I100" s="578"/>
    </row>
    <row r="101" spans="1:9" s="272" customFormat="1" ht="10.5">
      <c r="A101" s="303" t="s">
        <v>229</v>
      </c>
      <c r="B101" s="292">
        <f>COUNT($B36:B$100)+1</f>
        <v>16</v>
      </c>
      <c r="C101" s="630" t="s">
        <v>288</v>
      </c>
      <c r="D101" s="613" t="s">
        <v>196</v>
      </c>
      <c r="E101" s="601">
        <v>3</v>
      </c>
      <c r="F101" s="356"/>
      <c r="G101" s="590">
        <f>F101*E101</f>
        <v>0</v>
      </c>
      <c r="H101" s="313" t="s">
        <v>362</v>
      </c>
      <c r="I101" s="574">
        <f>SUM(G101:H101)</f>
        <v>0</v>
      </c>
    </row>
    <row r="102" spans="1:9" s="272" customFormat="1" ht="21.75">
      <c r="A102" s="296"/>
      <c r="B102" s="297"/>
      <c r="C102" s="639" t="s">
        <v>289</v>
      </c>
      <c r="D102" s="614"/>
      <c r="E102" s="602"/>
      <c r="F102" s="357"/>
      <c r="G102" s="333"/>
      <c r="H102" s="314"/>
      <c r="I102" s="580"/>
    </row>
    <row r="103" spans="1:9" s="272" customFormat="1" ht="10.5">
      <c r="A103" s="299"/>
      <c r="B103" s="300"/>
      <c r="C103" s="636"/>
      <c r="D103" s="617"/>
      <c r="E103" s="606"/>
      <c r="F103" s="355"/>
      <c r="G103" s="591"/>
      <c r="H103" s="312"/>
      <c r="I103" s="578"/>
    </row>
    <row r="104" spans="1:9" s="272" customFormat="1" ht="10.5">
      <c r="A104" s="303" t="s">
        <v>229</v>
      </c>
      <c r="B104" s="292">
        <f>COUNT($B36:B$103)+1</f>
        <v>17</v>
      </c>
      <c r="C104" s="630" t="s">
        <v>290</v>
      </c>
      <c r="D104" s="613" t="s">
        <v>57</v>
      </c>
      <c r="E104" s="601">
        <v>2</v>
      </c>
      <c r="F104" s="356"/>
      <c r="G104" s="590">
        <f>F104*E104</f>
        <v>0</v>
      </c>
      <c r="H104" s="313" t="s">
        <v>362</v>
      </c>
      <c r="I104" s="574">
        <f>SUM(G104:H104)</f>
        <v>0</v>
      </c>
    </row>
    <row r="105" spans="1:9" s="272" customFormat="1" ht="26.25" customHeight="1">
      <c r="A105" s="296"/>
      <c r="B105" s="297"/>
      <c r="C105" s="639" t="s">
        <v>291</v>
      </c>
      <c r="D105" s="614"/>
      <c r="E105" s="602"/>
      <c r="F105" s="357"/>
      <c r="G105" s="596"/>
      <c r="H105" s="314"/>
      <c r="I105" s="580"/>
    </row>
    <row r="106" spans="1:9" s="272" customFormat="1" ht="12.75" customHeight="1">
      <c r="A106" s="299"/>
      <c r="B106" s="300"/>
      <c r="C106" s="632"/>
      <c r="D106" s="615"/>
      <c r="E106" s="603"/>
      <c r="F106" s="358"/>
      <c r="G106" s="594"/>
      <c r="H106" s="316"/>
      <c r="I106" s="579"/>
    </row>
    <row r="107" spans="1:9" s="272" customFormat="1" ht="10.5">
      <c r="A107" s="303" t="s">
        <v>229</v>
      </c>
      <c r="B107" s="292">
        <f>COUNT($B36:B$106)+1</f>
        <v>18</v>
      </c>
      <c r="C107" s="630" t="s">
        <v>292</v>
      </c>
      <c r="D107" s="613" t="s">
        <v>196</v>
      </c>
      <c r="E107" s="601">
        <v>6</v>
      </c>
      <c r="F107" s="356"/>
      <c r="G107" s="593" t="s">
        <v>277</v>
      </c>
      <c r="H107" s="313">
        <f>F107*E107</f>
        <v>0</v>
      </c>
      <c r="I107" s="574">
        <f>SUM(G107:H107)</f>
        <v>0</v>
      </c>
    </row>
    <row r="108" spans="1:9" s="272" customFormat="1" ht="43.5">
      <c r="A108" s="296"/>
      <c r="B108" s="297"/>
      <c r="C108" s="634" t="s">
        <v>392</v>
      </c>
      <c r="D108" s="614"/>
      <c r="E108" s="602"/>
      <c r="F108" s="357"/>
      <c r="G108" s="596"/>
      <c r="H108" s="320"/>
      <c r="I108" s="580"/>
    </row>
    <row r="109" spans="1:9" s="272" customFormat="1" ht="10.5">
      <c r="A109" s="299"/>
      <c r="B109" s="300"/>
      <c r="C109" s="636"/>
      <c r="D109" s="617"/>
      <c r="E109" s="606"/>
      <c r="F109" s="355"/>
      <c r="G109" s="592"/>
      <c r="H109" s="318"/>
      <c r="I109" s="578"/>
    </row>
    <row r="110" spans="1:9" s="272" customFormat="1" ht="10.5">
      <c r="A110" s="303" t="s">
        <v>229</v>
      </c>
      <c r="B110" s="292">
        <f>COUNT($B35:B$109)+1</f>
        <v>19</v>
      </c>
      <c r="C110" s="630" t="s">
        <v>293</v>
      </c>
      <c r="D110" s="613" t="s">
        <v>196</v>
      </c>
      <c r="E110" s="601">
        <v>6</v>
      </c>
      <c r="F110" s="356"/>
      <c r="G110" s="593" t="s">
        <v>277</v>
      </c>
      <c r="H110" s="313">
        <f>F110*E110</f>
        <v>0</v>
      </c>
      <c r="I110" s="574">
        <f>SUM(G110:H110)</f>
        <v>0</v>
      </c>
    </row>
    <row r="111" spans="1:9" s="272" customFormat="1" ht="24.75" customHeight="1">
      <c r="A111" s="296"/>
      <c r="B111" s="297"/>
      <c r="C111" s="639" t="s">
        <v>294</v>
      </c>
      <c r="D111" s="614"/>
      <c r="E111" s="602"/>
      <c r="F111" s="357"/>
      <c r="G111" s="596"/>
      <c r="H111" s="314"/>
      <c r="I111" s="580"/>
    </row>
    <row r="112" spans="1:9" s="272" customFormat="1" ht="10.5">
      <c r="A112" s="299"/>
      <c r="B112" s="300"/>
      <c r="C112" s="636"/>
      <c r="D112" s="617"/>
      <c r="E112" s="606"/>
      <c r="F112" s="355"/>
      <c r="G112" s="592"/>
      <c r="H112" s="312"/>
      <c r="I112" s="578"/>
    </row>
    <row r="113" spans="1:9" s="272" customFormat="1" ht="10.5">
      <c r="A113" s="308" t="s">
        <v>229</v>
      </c>
      <c r="B113" s="309">
        <f>COUNT($B35:B$112)+1</f>
        <v>20</v>
      </c>
      <c r="C113" s="328" t="s">
        <v>295</v>
      </c>
      <c r="D113" s="327" t="s">
        <v>57</v>
      </c>
      <c r="E113" s="323">
        <v>3</v>
      </c>
      <c r="F113" s="361"/>
      <c r="G113" s="334">
        <f>F113*E113</f>
        <v>0</v>
      </c>
      <c r="H113" s="311" t="s">
        <v>362</v>
      </c>
      <c r="I113" s="325">
        <f>SUM(G113:H113)</f>
        <v>0</v>
      </c>
    </row>
    <row r="114" spans="1:9" s="272" customFormat="1" ht="10.5">
      <c r="A114" s="299"/>
      <c r="B114" s="300"/>
      <c r="C114" s="636"/>
      <c r="D114" s="617"/>
      <c r="E114" s="606"/>
      <c r="F114" s="355"/>
      <c r="G114" s="591"/>
      <c r="H114" s="312"/>
      <c r="I114" s="578"/>
    </row>
    <row r="115" spans="1:9" s="272" customFormat="1" ht="10.5">
      <c r="A115" s="303" t="s">
        <v>229</v>
      </c>
      <c r="B115" s="292">
        <f>COUNT($B35:B$114)+1</f>
        <v>21</v>
      </c>
      <c r="C115" s="630" t="s">
        <v>296</v>
      </c>
      <c r="D115" s="607"/>
      <c r="E115" s="607"/>
      <c r="F115" s="362"/>
      <c r="G115" s="590"/>
      <c r="H115" s="321"/>
      <c r="I115" s="583"/>
    </row>
    <row r="116" spans="1:9" s="272" customFormat="1" ht="76.5">
      <c r="A116" s="299"/>
      <c r="B116" s="300"/>
      <c r="C116" s="632" t="s">
        <v>297</v>
      </c>
      <c r="D116" s="617"/>
      <c r="E116" s="606"/>
      <c r="F116" s="355"/>
      <c r="G116" s="591"/>
      <c r="H116" s="312"/>
      <c r="I116" s="578"/>
    </row>
    <row r="117" spans="1:9" s="272" customFormat="1" ht="12.75" customHeight="1">
      <c r="A117" s="296"/>
      <c r="B117" s="297"/>
      <c r="C117" s="640" t="s">
        <v>298</v>
      </c>
      <c r="D117" s="618" t="s">
        <v>57</v>
      </c>
      <c r="E117" s="331">
        <v>3</v>
      </c>
      <c r="F117" s="360"/>
      <c r="G117" s="333">
        <f>F117*E117</f>
        <v>0</v>
      </c>
      <c r="H117" s="320" t="s">
        <v>362</v>
      </c>
      <c r="I117" s="575">
        <f>SUM(G117:H117)</f>
        <v>0</v>
      </c>
    </row>
    <row r="118" spans="1:9" s="272" customFormat="1" ht="10.5">
      <c r="A118" s="299"/>
      <c r="B118" s="300"/>
      <c r="C118" s="632"/>
      <c r="D118" s="617"/>
      <c r="E118" s="606"/>
      <c r="F118" s="355"/>
      <c r="G118" s="592"/>
      <c r="H118" s="312"/>
      <c r="I118" s="578"/>
    </row>
    <row r="119" spans="1:9" s="307" customFormat="1" ht="10.5">
      <c r="A119" s="303" t="s">
        <v>229</v>
      </c>
      <c r="B119" s="292">
        <f>COUNT($B36:B$118)+1</f>
        <v>22</v>
      </c>
      <c r="C119" s="630" t="s">
        <v>299</v>
      </c>
      <c r="D119" s="613" t="s">
        <v>57</v>
      </c>
      <c r="E119" s="601">
        <v>1</v>
      </c>
      <c r="F119" s="356"/>
      <c r="G119" s="593" t="s">
        <v>277</v>
      </c>
      <c r="H119" s="313">
        <f>F119*E119</f>
        <v>0</v>
      </c>
      <c r="I119" s="574">
        <f>SUM(G119:H119)</f>
        <v>0</v>
      </c>
    </row>
    <row r="120" spans="1:9" s="307" customFormat="1" ht="54.75">
      <c r="A120" s="296"/>
      <c r="B120" s="297"/>
      <c r="C120" s="639" t="s">
        <v>300</v>
      </c>
      <c r="D120" s="614"/>
      <c r="E120" s="602"/>
      <c r="F120" s="357"/>
      <c r="G120" s="596"/>
      <c r="H120" s="314"/>
      <c r="I120" s="580"/>
    </row>
    <row r="121" spans="1:9" s="272" customFormat="1" ht="10.5">
      <c r="A121" s="299"/>
      <c r="B121" s="300"/>
      <c r="C121" s="636"/>
      <c r="D121" s="617"/>
      <c r="E121" s="606"/>
      <c r="F121" s="355"/>
      <c r="G121" s="592"/>
      <c r="H121" s="312"/>
      <c r="I121" s="578"/>
    </row>
    <row r="122" spans="1:9" s="272" customFormat="1" ht="10.5">
      <c r="A122" s="551" t="s">
        <v>229</v>
      </c>
      <c r="B122" s="646">
        <f>COUNT($B36:B$121)+1</f>
        <v>23</v>
      </c>
      <c r="C122" s="653" t="s">
        <v>301</v>
      </c>
      <c r="D122" s="613"/>
      <c r="E122" s="601"/>
      <c r="F122" s="356"/>
      <c r="G122" s="593"/>
      <c r="H122" s="313"/>
      <c r="I122" s="582"/>
    </row>
    <row r="123" spans="1:9" s="272" customFormat="1" ht="33">
      <c r="A123" s="552"/>
      <c r="B123" s="647"/>
      <c r="C123" s="656" t="s">
        <v>302</v>
      </c>
      <c r="D123" s="615"/>
      <c r="E123" s="603"/>
      <c r="F123" s="358"/>
      <c r="G123" s="594"/>
      <c r="H123" s="316"/>
      <c r="I123" s="579"/>
    </row>
    <row r="124" spans="1:9" s="272" customFormat="1" ht="12" customHeight="1">
      <c r="A124" s="650"/>
      <c r="B124" s="647"/>
      <c r="C124" s="645" t="s">
        <v>303</v>
      </c>
      <c r="D124" s="322" t="s">
        <v>194</v>
      </c>
      <c r="E124" s="323">
        <v>20</v>
      </c>
      <c r="F124" s="363"/>
      <c r="G124" s="324" t="s">
        <v>277</v>
      </c>
      <c r="H124" s="324">
        <f>F124*E124</f>
        <v>0</v>
      </c>
      <c r="I124" s="325">
        <f>SUM(G124:H124)</f>
        <v>0</v>
      </c>
    </row>
    <row r="125" spans="1:9" s="272" customFormat="1" ht="12.75" customHeight="1">
      <c r="A125" s="650"/>
      <c r="B125" s="647"/>
      <c r="C125" s="657" t="s">
        <v>282</v>
      </c>
      <c r="D125" s="327" t="s">
        <v>194</v>
      </c>
      <c r="E125" s="323">
        <v>20</v>
      </c>
      <c r="F125" s="363"/>
      <c r="G125" s="324" t="s">
        <v>277</v>
      </c>
      <c r="H125" s="324">
        <f>F125*E125</f>
        <v>0</v>
      </c>
      <c r="I125" s="325">
        <f>SUM(G125:H125)</f>
        <v>0</v>
      </c>
    </row>
    <row r="126" spans="1:9" s="272" customFormat="1" ht="12.75" customHeight="1">
      <c r="A126" s="650"/>
      <c r="B126" s="647"/>
      <c r="C126" s="657" t="s">
        <v>283</v>
      </c>
      <c r="D126" s="327" t="s">
        <v>194</v>
      </c>
      <c r="E126" s="323">
        <v>20</v>
      </c>
      <c r="F126" s="363"/>
      <c r="G126" s="324" t="s">
        <v>277</v>
      </c>
      <c r="H126" s="324">
        <f>F126*E126</f>
        <v>0</v>
      </c>
      <c r="I126" s="325">
        <f>SUM(G126:H126)</f>
        <v>0</v>
      </c>
    </row>
    <row r="127" spans="1:9" s="272" customFormat="1" ht="12.75" customHeight="1">
      <c r="A127" s="651"/>
      <c r="B127" s="648"/>
      <c r="C127" s="657" t="s">
        <v>284</v>
      </c>
      <c r="D127" s="327" t="s">
        <v>194</v>
      </c>
      <c r="E127" s="323">
        <v>5</v>
      </c>
      <c r="F127" s="363"/>
      <c r="G127" s="324" t="s">
        <v>277</v>
      </c>
      <c r="H127" s="324">
        <f>F127*E127</f>
        <v>0</v>
      </c>
      <c r="I127" s="325">
        <f>SUM(G127:H127)</f>
        <v>0</v>
      </c>
    </row>
    <row r="128" spans="1:9" s="272" customFormat="1" ht="10.5">
      <c r="A128" s="299"/>
      <c r="B128" s="300"/>
      <c r="C128" s="636"/>
      <c r="D128" s="617"/>
      <c r="E128" s="606"/>
      <c r="F128" s="355"/>
      <c r="G128" s="592"/>
      <c r="H128" s="318"/>
      <c r="I128" s="578"/>
    </row>
    <row r="129" spans="1:9" s="272" customFormat="1" ht="10.5">
      <c r="A129" s="551" t="s">
        <v>229</v>
      </c>
      <c r="B129" s="646">
        <f>COUNT($B36:B$128)+1</f>
        <v>24</v>
      </c>
      <c r="C129" s="653" t="s">
        <v>304</v>
      </c>
      <c r="D129" s="613"/>
      <c r="E129" s="601"/>
      <c r="F129" s="356"/>
      <c r="G129" s="593"/>
      <c r="H129" s="313"/>
      <c r="I129" s="582"/>
    </row>
    <row r="130" spans="1:9" s="272" customFormat="1" ht="10.5">
      <c r="A130" s="552"/>
      <c r="B130" s="647"/>
      <c r="C130" s="656" t="s">
        <v>305</v>
      </c>
      <c r="D130" s="615"/>
      <c r="E130" s="603"/>
      <c r="F130" s="358"/>
      <c r="G130" s="594"/>
      <c r="H130" s="316"/>
      <c r="I130" s="579"/>
    </row>
    <row r="131" spans="1:9" s="272" customFormat="1" ht="12" customHeight="1">
      <c r="A131" s="650"/>
      <c r="B131" s="647"/>
      <c r="C131" s="645" t="s">
        <v>303</v>
      </c>
      <c r="D131" s="327" t="s">
        <v>57</v>
      </c>
      <c r="E131" s="323">
        <v>10</v>
      </c>
      <c r="F131" s="363"/>
      <c r="G131" s="324" t="s">
        <v>277</v>
      </c>
      <c r="H131" s="324">
        <f>F131*E131</f>
        <v>0</v>
      </c>
      <c r="I131" s="325">
        <f>SUM(G131:H131)</f>
        <v>0</v>
      </c>
    </row>
    <row r="132" spans="1:9" s="272" customFormat="1" ht="12.75" customHeight="1">
      <c r="A132" s="650"/>
      <c r="B132" s="647"/>
      <c r="C132" s="657" t="s">
        <v>282</v>
      </c>
      <c r="D132" s="327" t="s">
        <v>57</v>
      </c>
      <c r="E132" s="323">
        <v>10</v>
      </c>
      <c r="F132" s="363"/>
      <c r="G132" s="324" t="s">
        <v>277</v>
      </c>
      <c r="H132" s="324">
        <f>F132*E132</f>
        <v>0</v>
      </c>
      <c r="I132" s="325">
        <f>SUM(G132:H132)</f>
        <v>0</v>
      </c>
    </row>
    <row r="133" spans="1:9" s="272" customFormat="1" ht="12.75" customHeight="1">
      <c r="A133" s="650"/>
      <c r="B133" s="647"/>
      <c r="C133" s="657" t="s">
        <v>283</v>
      </c>
      <c r="D133" s="327" t="s">
        <v>57</v>
      </c>
      <c r="E133" s="323">
        <v>10</v>
      </c>
      <c r="F133" s="363"/>
      <c r="G133" s="324" t="s">
        <v>277</v>
      </c>
      <c r="H133" s="324">
        <f>F133*E133</f>
        <v>0</v>
      </c>
      <c r="I133" s="325">
        <f>SUM(G133:H133)</f>
        <v>0</v>
      </c>
    </row>
    <row r="134" spans="1:9" s="272" customFormat="1" ht="12.75" customHeight="1">
      <c r="A134" s="651"/>
      <c r="B134" s="648"/>
      <c r="C134" s="657" t="s">
        <v>284</v>
      </c>
      <c r="D134" s="327" t="s">
        <v>57</v>
      </c>
      <c r="E134" s="323">
        <v>3</v>
      </c>
      <c r="F134" s="363"/>
      <c r="G134" s="324" t="s">
        <v>277</v>
      </c>
      <c r="H134" s="324">
        <f>F134*E134</f>
        <v>0</v>
      </c>
      <c r="I134" s="325">
        <f>SUM(G134:H134)</f>
        <v>0</v>
      </c>
    </row>
    <row r="135" spans="1:9" s="272" customFormat="1" ht="10.5">
      <c r="A135" s="299"/>
      <c r="B135" s="300"/>
      <c r="C135" s="636"/>
      <c r="D135" s="617"/>
      <c r="E135" s="606"/>
      <c r="F135" s="355"/>
      <c r="G135" s="592"/>
      <c r="H135" s="318"/>
      <c r="I135" s="578"/>
    </row>
    <row r="136" spans="1:9" s="272" customFormat="1" ht="12.75">
      <c r="A136" s="303" t="s">
        <v>229</v>
      </c>
      <c r="B136" s="292">
        <f>COUNT($B36:B$135)+1</f>
        <v>25</v>
      </c>
      <c r="C136" s="630" t="s">
        <v>306</v>
      </c>
      <c r="D136" s="619" t="s">
        <v>194</v>
      </c>
      <c r="E136" s="601">
        <v>65</v>
      </c>
      <c r="F136" s="356"/>
      <c r="G136" s="593" t="s">
        <v>277</v>
      </c>
      <c r="H136" s="313">
        <f>F136*E136</f>
        <v>0</v>
      </c>
      <c r="I136" s="574">
        <f>SUM(G136:H136)</f>
        <v>0</v>
      </c>
    </row>
    <row r="137" spans="1:9" s="272" customFormat="1" ht="21.75">
      <c r="A137" s="319"/>
      <c r="B137" s="297"/>
      <c r="C137" s="639" t="s">
        <v>307</v>
      </c>
      <c r="D137" s="330"/>
      <c r="E137" s="331"/>
      <c r="F137" s="360"/>
      <c r="G137" s="332"/>
      <c r="H137" s="320"/>
      <c r="I137" s="584"/>
    </row>
    <row r="138" spans="1:9" s="272" customFormat="1" ht="10.5">
      <c r="A138" s="299"/>
      <c r="B138" s="300"/>
      <c r="C138" s="636"/>
      <c r="D138" s="617"/>
      <c r="E138" s="606"/>
      <c r="F138" s="355"/>
      <c r="G138" s="592"/>
      <c r="H138" s="312"/>
      <c r="I138" s="578"/>
    </row>
    <row r="139" spans="1:9" s="272" customFormat="1" ht="12.75">
      <c r="A139" s="303" t="s">
        <v>229</v>
      </c>
      <c r="B139" s="292">
        <f>COUNT($B36:B$138)+1</f>
        <v>26</v>
      </c>
      <c r="C139" s="630" t="s">
        <v>308</v>
      </c>
      <c r="D139" s="619"/>
      <c r="E139" s="601"/>
      <c r="F139" s="356"/>
      <c r="G139" s="593"/>
      <c r="H139" s="313"/>
      <c r="I139" s="582"/>
    </row>
    <row r="140" spans="1:9" s="272" customFormat="1" ht="21.75">
      <c r="A140" s="317"/>
      <c r="B140" s="300"/>
      <c r="C140" s="632" t="s">
        <v>309</v>
      </c>
      <c r="D140" s="597"/>
      <c r="E140" s="597"/>
      <c r="F140" s="364"/>
      <c r="G140" s="597"/>
      <c r="I140" s="585"/>
    </row>
    <row r="141" spans="1:9" s="272" customFormat="1" ht="12" customHeight="1">
      <c r="A141" s="649"/>
      <c r="B141" s="646"/>
      <c r="C141" s="645" t="s">
        <v>303</v>
      </c>
      <c r="D141" s="322" t="s">
        <v>194</v>
      </c>
      <c r="E141" s="323">
        <v>20</v>
      </c>
      <c r="F141" s="363"/>
      <c r="G141" s="334">
        <f>F141*E141</f>
        <v>0</v>
      </c>
      <c r="H141" s="324" t="s">
        <v>362</v>
      </c>
      <c r="I141" s="325">
        <f>SUM(G141:H141)</f>
        <v>0</v>
      </c>
    </row>
    <row r="142" spans="1:9" s="272" customFormat="1" ht="12" customHeight="1">
      <c r="A142" s="650"/>
      <c r="B142" s="647"/>
      <c r="C142" s="645" t="s">
        <v>282</v>
      </c>
      <c r="D142" s="322" t="s">
        <v>194</v>
      </c>
      <c r="E142" s="323">
        <v>20</v>
      </c>
      <c r="F142" s="363"/>
      <c r="G142" s="334">
        <f>F142*E142</f>
        <v>0</v>
      </c>
      <c r="H142" s="324" t="s">
        <v>362</v>
      </c>
      <c r="I142" s="325">
        <f>SUM(G142:H142)</f>
        <v>0</v>
      </c>
    </row>
    <row r="143" spans="1:9" s="272" customFormat="1" ht="12" customHeight="1">
      <c r="A143" s="650"/>
      <c r="B143" s="647"/>
      <c r="C143" s="645" t="s">
        <v>283</v>
      </c>
      <c r="D143" s="322" t="s">
        <v>194</v>
      </c>
      <c r="E143" s="323">
        <v>20</v>
      </c>
      <c r="F143" s="363"/>
      <c r="G143" s="334">
        <f>F143*E143</f>
        <v>0</v>
      </c>
      <c r="H143" s="324" t="s">
        <v>362</v>
      </c>
      <c r="I143" s="325">
        <f>SUM(G143:H143)</f>
        <v>0</v>
      </c>
    </row>
    <row r="144" spans="1:9" s="272" customFormat="1" ht="12" customHeight="1">
      <c r="A144" s="651"/>
      <c r="B144" s="648"/>
      <c r="C144" s="645" t="s">
        <v>284</v>
      </c>
      <c r="D144" s="322" t="s">
        <v>194</v>
      </c>
      <c r="E144" s="323">
        <v>5</v>
      </c>
      <c r="F144" s="363"/>
      <c r="G144" s="334">
        <f>F144*E144</f>
        <v>0</v>
      </c>
      <c r="H144" s="324" t="s">
        <v>362</v>
      </c>
      <c r="I144" s="325">
        <f>SUM(G144:H144)</f>
        <v>0</v>
      </c>
    </row>
    <row r="145" spans="1:9" s="272" customFormat="1" ht="10.5">
      <c r="A145" s="299"/>
      <c r="B145" s="300"/>
      <c r="C145" s="636"/>
      <c r="D145" s="617"/>
      <c r="E145" s="606"/>
      <c r="F145" s="355"/>
      <c r="G145" s="592"/>
      <c r="H145" s="312"/>
      <c r="I145" s="578"/>
    </row>
    <row r="146" spans="1:9" s="272" customFormat="1" ht="10.5">
      <c r="A146" s="303" t="s">
        <v>229</v>
      </c>
      <c r="B146" s="292">
        <f>COUNT($B36:B$145)+1</f>
        <v>27</v>
      </c>
      <c r="C146" s="630" t="s">
        <v>310</v>
      </c>
      <c r="D146" s="613"/>
      <c r="E146" s="601"/>
      <c r="F146" s="356"/>
      <c r="G146" s="593"/>
      <c r="H146" s="313"/>
      <c r="I146" s="582"/>
    </row>
    <row r="147" spans="1:9" s="272" customFormat="1" ht="12" customHeight="1">
      <c r="A147" s="299"/>
      <c r="B147" s="300"/>
      <c r="C147" s="632" t="s">
        <v>311</v>
      </c>
      <c r="D147" s="615"/>
      <c r="E147" s="603"/>
      <c r="F147" s="358"/>
      <c r="G147" s="594"/>
      <c r="H147" s="316"/>
      <c r="I147" s="579"/>
    </row>
    <row r="148" spans="1:9" s="272" customFormat="1" ht="12" customHeight="1">
      <c r="A148" s="551"/>
      <c r="B148" s="646"/>
      <c r="C148" s="645" t="s">
        <v>312</v>
      </c>
      <c r="D148" s="322" t="s">
        <v>194</v>
      </c>
      <c r="E148" s="323">
        <v>0</v>
      </c>
      <c r="F148" s="363"/>
      <c r="G148" s="334" t="s">
        <v>277</v>
      </c>
      <c r="H148" s="324"/>
      <c r="I148" s="325"/>
    </row>
    <row r="149" spans="1:9" s="272" customFormat="1" ht="12" customHeight="1">
      <c r="A149" s="552"/>
      <c r="B149" s="647"/>
      <c r="C149" s="645" t="s">
        <v>313</v>
      </c>
      <c r="D149" s="322" t="s">
        <v>194</v>
      </c>
      <c r="E149" s="323">
        <v>0</v>
      </c>
      <c r="F149" s="363"/>
      <c r="G149" s="334" t="s">
        <v>277</v>
      </c>
      <c r="H149" s="324"/>
      <c r="I149" s="325"/>
    </row>
    <row r="150" spans="1:9" s="272" customFormat="1" ht="12" customHeight="1">
      <c r="A150" s="553"/>
      <c r="B150" s="648"/>
      <c r="C150" s="645" t="s">
        <v>314</v>
      </c>
      <c r="D150" s="322" t="s">
        <v>194</v>
      </c>
      <c r="E150" s="323">
        <v>20</v>
      </c>
      <c r="F150" s="363"/>
      <c r="G150" s="334" t="s">
        <v>277</v>
      </c>
      <c r="H150" s="324">
        <f>F150*E150</f>
        <v>0</v>
      </c>
      <c r="I150" s="325">
        <f>SUM(G150:H150)</f>
        <v>0</v>
      </c>
    </row>
    <row r="151" spans="1:9" s="272" customFormat="1" ht="12" customHeight="1">
      <c r="A151" s="317"/>
      <c r="B151" s="300"/>
      <c r="C151" s="637"/>
      <c r="D151" s="617"/>
      <c r="E151" s="606"/>
      <c r="F151" s="359"/>
      <c r="G151" s="595"/>
      <c r="H151" s="318"/>
      <c r="I151" s="586"/>
    </row>
    <row r="152" spans="1:9" s="272" customFormat="1" ht="12.75">
      <c r="A152" s="303" t="s">
        <v>229</v>
      </c>
      <c r="B152" s="292">
        <f>COUNT($B36:B$151)+1</f>
        <v>28</v>
      </c>
      <c r="C152" s="630" t="s">
        <v>315</v>
      </c>
      <c r="D152" s="619"/>
      <c r="E152" s="601"/>
      <c r="F152" s="356"/>
      <c r="G152" s="593"/>
      <c r="H152" s="313"/>
      <c r="I152" s="582"/>
    </row>
    <row r="153" spans="1:9" s="272" customFormat="1" ht="43.5">
      <c r="A153" s="299"/>
      <c r="B153" s="300"/>
      <c r="C153" s="632" t="s">
        <v>316</v>
      </c>
      <c r="D153" s="617"/>
      <c r="E153" s="606"/>
      <c r="F153" s="355"/>
      <c r="G153" s="592"/>
      <c r="H153" s="312"/>
      <c r="I153" s="578"/>
    </row>
    <row r="154" spans="1:9" s="272" customFormat="1" ht="12" customHeight="1">
      <c r="A154" s="319"/>
      <c r="B154" s="297"/>
      <c r="C154" s="329" t="s">
        <v>317</v>
      </c>
      <c r="D154" s="330" t="s">
        <v>194</v>
      </c>
      <c r="E154" s="331">
        <v>20</v>
      </c>
      <c r="F154" s="360"/>
      <c r="G154" s="332" t="s">
        <v>277</v>
      </c>
      <c r="H154" s="320">
        <f>F154*E154</f>
        <v>0</v>
      </c>
      <c r="I154" s="575">
        <f>SUM(G154:H154)</f>
        <v>0</v>
      </c>
    </row>
    <row r="155" spans="1:9" s="272" customFormat="1" ht="12" customHeight="1">
      <c r="A155" s="317"/>
      <c r="B155" s="300"/>
      <c r="C155" s="641"/>
      <c r="D155" s="620"/>
      <c r="E155" s="606"/>
      <c r="F155" s="359"/>
      <c r="G155" s="595"/>
      <c r="H155" s="318"/>
      <c r="I155" s="586"/>
    </row>
    <row r="156" spans="1:9" s="272" customFormat="1" ht="12.75">
      <c r="A156" s="303" t="s">
        <v>229</v>
      </c>
      <c r="B156" s="292">
        <f>COUNT($B36:B$155)+1</f>
        <v>29</v>
      </c>
      <c r="C156" s="630" t="s">
        <v>318</v>
      </c>
      <c r="D156" s="619"/>
      <c r="E156" s="601"/>
      <c r="F156" s="356"/>
      <c r="G156" s="593"/>
      <c r="H156" s="313"/>
      <c r="I156" s="582"/>
    </row>
    <row r="157" spans="1:9" s="272" customFormat="1" ht="10.5">
      <c r="A157" s="299"/>
      <c r="B157" s="300"/>
      <c r="C157" s="632" t="s">
        <v>319</v>
      </c>
      <c r="D157" s="617"/>
      <c r="E157" s="606"/>
      <c r="F157" s="355"/>
      <c r="G157" s="592"/>
      <c r="H157" s="312"/>
      <c r="I157" s="578"/>
    </row>
    <row r="158" spans="1:9" s="272" customFormat="1" ht="12" customHeight="1">
      <c r="A158" s="319"/>
      <c r="B158" s="297"/>
      <c r="C158" s="329" t="s">
        <v>317</v>
      </c>
      <c r="D158" s="330" t="s">
        <v>194</v>
      </c>
      <c r="E158" s="331">
        <v>20</v>
      </c>
      <c r="F158" s="360"/>
      <c r="G158" s="332" t="s">
        <v>277</v>
      </c>
      <c r="H158" s="320">
        <f>F158*E158</f>
        <v>0</v>
      </c>
      <c r="I158" s="575">
        <f>SUM(G158:H158)</f>
        <v>0</v>
      </c>
    </row>
    <row r="159" spans="1:9" s="272" customFormat="1" ht="12" customHeight="1">
      <c r="A159" s="317"/>
      <c r="B159" s="300"/>
      <c r="C159" s="641"/>
      <c r="D159" s="620"/>
      <c r="E159" s="606"/>
      <c r="F159" s="359"/>
      <c r="G159" s="595"/>
      <c r="H159" s="318"/>
      <c r="I159" s="586"/>
    </row>
    <row r="160" spans="1:9" s="272" customFormat="1" ht="12.75">
      <c r="A160" s="303" t="s">
        <v>229</v>
      </c>
      <c r="B160" s="292">
        <f>COUNT($B36:B$159)+1</f>
        <v>30</v>
      </c>
      <c r="C160" s="630" t="s">
        <v>320</v>
      </c>
      <c r="D160" s="619"/>
      <c r="E160" s="601"/>
      <c r="F160" s="356"/>
      <c r="G160" s="593"/>
      <c r="H160" s="313"/>
      <c r="I160" s="582"/>
    </row>
    <row r="161" spans="1:9" s="272" customFormat="1" ht="12" customHeight="1">
      <c r="A161" s="317"/>
      <c r="B161" s="300"/>
      <c r="C161" s="632" t="s">
        <v>321</v>
      </c>
      <c r="D161" s="620"/>
      <c r="E161" s="606"/>
      <c r="F161" s="359"/>
      <c r="G161" s="595"/>
      <c r="H161" s="318"/>
      <c r="I161" s="586"/>
    </row>
    <row r="162" spans="1:9" s="272" customFormat="1" ht="12" customHeight="1">
      <c r="A162" s="319"/>
      <c r="B162" s="297"/>
      <c r="C162" s="329" t="s">
        <v>322</v>
      </c>
      <c r="D162" s="330" t="s">
        <v>194</v>
      </c>
      <c r="E162" s="331">
        <v>20</v>
      </c>
      <c r="F162" s="360"/>
      <c r="G162" s="332" t="s">
        <v>277</v>
      </c>
      <c r="H162" s="320">
        <f>F162*E162</f>
        <v>0</v>
      </c>
      <c r="I162" s="575">
        <f>SUM(G162:H162)</f>
        <v>0</v>
      </c>
    </row>
    <row r="163" spans="1:9" s="272" customFormat="1" ht="12" customHeight="1">
      <c r="A163" s="317"/>
      <c r="B163" s="300"/>
      <c r="C163" s="641"/>
      <c r="D163" s="620"/>
      <c r="E163" s="606"/>
      <c r="F163" s="359"/>
      <c r="G163" s="595"/>
      <c r="H163" s="318"/>
      <c r="I163" s="586"/>
    </row>
    <row r="164" spans="1:9" s="307" customFormat="1" ht="12.75" customHeight="1">
      <c r="A164" s="308" t="s">
        <v>229</v>
      </c>
      <c r="B164" s="309">
        <f>COUNT($B36:B$163)+1</f>
        <v>31</v>
      </c>
      <c r="C164" s="328" t="s">
        <v>323</v>
      </c>
      <c r="D164" s="327" t="s">
        <v>57</v>
      </c>
      <c r="E164" s="323">
        <v>1</v>
      </c>
      <c r="F164" s="361"/>
      <c r="G164" s="334">
        <f>F164*E164</f>
        <v>0</v>
      </c>
      <c r="H164" s="311" t="s">
        <v>362</v>
      </c>
      <c r="I164" s="325">
        <f>SUM(G164:H164)</f>
        <v>0</v>
      </c>
    </row>
    <row r="165" spans="1:9" s="307" customFormat="1" ht="12.75" customHeight="1">
      <c r="A165" s="317"/>
      <c r="B165" s="300"/>
      <c r="C165" s="636"/>
      <c r="D165" s="617"/>
      <c r="E165" s="606"/>
      <c r="F165" s="359"/>
      <c r="G165" s="595"/>
      <c r="H165" s="318"/>
      <c r="I165" s="586"/>
    </row>
    <row r="166" spans="1:9" s="307" customFormat="1" ht="12.75" customHeight="1">
      <c r="A166" s="308" t="s">
        <v>229</v>
      </c>
      <c r="B166" s="309">
        <f>COUNT($B36:B$165)+1</f>
        <v>32</v>
      </c>
      <c r="C166" s="328" t="s">
        <v>324</v>
      </c>
      <c r="D166" s="327" t="s">
        <v>57</v>
      </c>
      <c r="E166" s="323">
        <v>1</v>
      </c>
      <c r="F166" s="361"/>
      <c r="G166" s="334">
        <f>F166*E166</f>
        <v>0</v>
      </c>
      <c r="H166" s="311" t="s">
        <v>362</v>
      </c>
      <c r="I166" s="325">
        <f>SUM(G166:H166)</f>
        <v>0</v>
      </c>
    </row>
    <row r="167" spans="1:9" s="307" customFormat="1" ht="12.75" customHeight="1">
      <c r="A167" s="317"/>
      <c r="B167" s="300"/>
      <c r="C167" s="636"/>
      <c r="D167" s="617"/>
      <c r="E167" s="606"/>
      <c r="F167" s="359"/>
      <c r="G167" s="595"/>
      <c r="H167" s="318"/>
      <c r="I167" s="586"/>
    </row>
    <row r="168" spans="1:9" s="307" customFormat="1" ht="12.75" customHeight="1">
      <c r="A168" s="308" t="s">
        <v>229</v>
      </c>
      <c r="B168" s="309">
        <f>COUNT($B36:B$167)+1</f>
        <v>33</v>
      </c>
      <c r="C168" s="328" t="s">
        <v>325</v>
      </c>
      <c r="D168" s="327" t="s">
        <v>57</v>
      </c>
      <c r="E168" s="323">
        <v>1</v>
      </c>
      <c r="F168" s="361"/>
      <c r="G168" s="334">
        <f>F168*E168</f>
        <v>0</v>
      </c>
      <c r="H168" s="311" t="s">
        <v>362</v>
      </c>
      <c r="I168" s="325">
        <f>SUM(G168:H168)</f>
        <v>0</v>
      </c>
    </row>
    <row r="169" spans="1:9" ht="12.75" customHeight="1">
      <c r="A169" s="278"/>
      <c r="B169" s="278"/>
      <c r="C169" s="598"/>
      <c r="D169" s="598"/>
      <c r="E169" s="598"/>
      <c r="F169" s="365"/>
      <c r="G169" s="598"/>
      <c r="H169" s="278"/>
      <c r="I169" s="587"/>
    </row>
    <row r="170" spans="1:9" s="307" customFormat="1" ht="10.5">
      <c r="A170" s="303" t="s">
        <v>229</v>
      </c>
      <c r="B170" s="292">
        <f>COUNT($B36:B$169)+1</f>
        <v>34</v>
      </c>
      <c r="C170" s="630" t="s">
        <v>326</v>
      </c>
      <c r="D170" s="613" t="s">
        <v>57</v>
      </c>
      <c r="E170" s="601">
        <v>1</v>
      </c>
      <c r="F170" s="356"/>
      <c r="G170" s="590">
        <f>F170*E170</f>
        <v>0</v>
      </c>
      <c r="H170" s="313" t="s">
        <v>362</v>
      </c>
      <c r="I170" s="574">
        <f>SUM(G170:H170)</f>
        <v>0</v>
      </c>
    </row>
    <row r="171" spans="1:9" s="307" customFormat="1" ht="10.5">
      <c r="A171" s="296"/>
      <c r="B171" s="297"/>
      <c r="C171" s="639" t="s">
        <v>327</v>
      </c>
      <c r="D171" s="614"/>
      <c r="E171" s="602"/>
      <c r="F171" s="357"/>
      <c r="G171" s="596"/>
      <c r="H171" s="314"/>
      <c r="I171" s="580"/>
    </row>
    <row r="172" spans="1:9" ht="12.75" customHeight="1">
      <c r="A172" s="278"/>
      <c r="B172" s="278"/>
      <c r="C172" s="598"/>
      <c r="D172" s="598"/>
      <c r="E172" s="598"/>
      <c r="F172" s="365"/>
      <c r="G172" s="598"/>
      <c r="H172" s="278"/>
      <c r="I172" s="587"/>
    </row>
    <row r="173" spans="1:9" s="307" customFormat="1" ht="10.5">
      <c r="A173" s="303" t="s">
        <v>229</v>
      </c>
      <c r="B173" s="292">
        <f>COUNT($B36:B$171)+1</f>
        <v>35</v>
      </c>
      <c r="C173" s="630" t="s">
        <v>328</v>
      </c>
      <c r="D173" s="613"/>
      <c r="E173" s="601"/>
      <c r="F173" s="356"/>
      <c r="G173" s="593"/>
      <c r="H173" s="313"/>
      <c r="I173" s="582"/>
    </row>
    <row r="174" spans="1:9" s="307" customFormat="1" ht="10.5">
      <c r="A174" s="299"/>
      <c r="B174" s="300"/>
      <c r="C174" s="632" t="s">
        <v>329</v>
      </c>
      <c r="D174" s="615"/>
      <c r="E174" s="603"/>
      <c r="F174" s="358"/>
      <c r="G174" s="594"/>
      <c r="H174" s="316"/>
      <c r="I174" s="579"/>
    </row>
    <row r="175" spans="1:9" s="307" customFormat="1" ht="10.5">
      <c r="A175" s="303"/>
      <c r="B175" s="292"/>
      <c r="C175" s="326" t="s">
        <v>330</v>
      </c>
      <c r="D175" s="327" t="s">
        <v>196</v>
      </c>
      <c r="E175" s="323">
        <v>1</v>
      </c>
      <c r="F175" s="363"/>
      <c r="G175" s="324" t="s">
        <v>277</v>
      </c>
      <c r="H175" s="324">
        <f>F175*E175</f>
        <v>0</v>
      </c>
      <c r="I175" s="325">
        <f>SUM(G175:H175)</f>
        <v>0</v>
      </c>
    </row>
    <row r="176" spans="1:9" s="307" customFormat="1" ht="10.5">
      <c r="A176" s="299"/>
      <c r="B176" s="300"/>
      <c r="C176" s="326" t="s">
        <v>331</v>
      </c>
      <c r="D176" s="327" t="s">
        <v>196</v>
      </c>
      <c r="E176" s="323">
        <v>1</v>
      </c>
      <c r="F176" s="363"/>
      <c r="G176" s="324" t="s">
        <v>277</v>
      </c>
      <c r="H176" s="324">
        <f>F176*E176</f>
        <v>0</v>
      </c>
      <c r="I176" s="325">
        <f>SUM(G176:H176)</f>
        <v>0</v>
      </c>
    </row>
    <row r="177" spans="1:9" s="307" customFormat="1" ht="10.5">
      <c r="A177" s="317"/>
      <c r="B177" s="300"/>
      <c r="C177" s="637"/>
      <c r="D177" s="617"/>
      <c r="E177" s="606"/>
      <c r="F177" s="359"/>
      <c r="G177" s="595"/>
      <c r="H177" s="318"/>
      <c r="I177" s="586"/>
    </row>
    <row r="178" spans="1:9" s="307" customFormat="1" ht="10.5">
      <c r="A178" s="303" t="s">
        <v>229</v>
      </c>
      <c r="B178" s="292">
        <f>COUNT($B36:B$177)+1</f>
        <v>36</v>
      </c>
      <c r="C178" s="630" t="s">
        <v>332</v>
      </c>
      <c r="D178" s="613" t="s">
        <v>57</v>
      </c>
      <c r="E178" s="601">
        <v>1</v>
      </c>
      <c r="F178" s="356"/>
      <c r="G178" s="593" t="s">
        <v>277</v>
      </c>
      <c r="H178" s="313">
        <f>F178*E178</f>
        <v>0</v>
      </c>
      <c r="I178" s="574">
        <f>SUM(G178:H178)</f>
        <v>0</v>
      </c>
    </row>
    <row r="179" spans="1:9" s="307" customFormat="1" ht="43.5">
      <c r="A179" s="317"/>
      <c r="B179" s="300"/>
      <c r="C179" s="632" t="s">
        <v>333</v>
      </c>
      <c r="D179" s="617"/>
      <c r="E179" s="606"/>
      <c r="F179" s="359"/>
      <c r="G179" s="595"/>
      <c r="H179" s="318"/>
      <c r="I179" s="586"/>
    </row>
    <row r="180" spans="1:9" s="307" customFormat="1" ht="54.75">
      <c r="A180" s="319"/>
      <c r="B180" s="297"/>
      <c r="C180" s="639" t="s">
        <v>334</v>
      </c>
      <c r="D180" s="618"/>
      <c r="E180" s="331"/>
      <c r="F180" s="360"/>
      <c r="G180" s="332"/>
      <c r="H180" s="320"/>
      <c r="I180" s="584"/>
    </row>
    <row r="181" spans="1:9" s="336" customFormat="1" ht="12.75">
      <c r="A181" s="317"/>
      <c r="B181" s="335"/>
      <c r="C181" s="642"/>
      <c r="D181" s="621"/>
      <c r="E181" s="608"/>
      <c r="F181" s="366"/>
      <c r="G181" s="595"/>
      <c r="H181" s="318"/>
      <c r="I181" s="586"/>
    </row>
    <row r="182" spans="1:9" s="307" customFormat="1" ht="10.5">
      <c r="A182" s="303" t="s">
        <v>229</v>
      </c>
      <c r="B182" s="292">
        <f>COUNT($B31:B$181)+1</f>
        <v>37</v>
      </c>
      <c r="C182" s="630" t="s">
        <v>335</v>
      </c>
      <c r="D182" s="613" t="s">
        <v>57</v>
      </c>
      <c r="E182" s="601">
        <v>1</v>
      </c>
      <c r="F182" s="356"/>
      <c r="G182" s="590">
        <f>F182*E182</f>
        <v>0</v>
      </c>
      <c r="H182" s="313" t="s">
        <v>362</v>
      </c>
      <c r="I182" s="574">
        <f>SUM(G182:H182)</f>
        <v>0</v>
      </c>
    </row>
    <row r="183" spans="1:9" s="336" customFormat="1" ht="43.5">
      <c r="A183" s="319"/>
      <c r="B183" s="337"/>
      <c r="C183" s="639" t="s">
        <v>336</v>
      </c>
      <c r="D183" s="622"/>
      <c r="E183" s="609"/>
      <c r="F183" s="367"/>
      <c r="G183" s="332"/>
      <c r="H183" s="320"/>
      <c r="I183" s="584"/>
    </row>
    <row r="184" spans="1:9" s="336" customFormat="1" ht="12.75" customHeight="1">
      <c r="A184" s="317"/>
      <c r="B184" s="335"/>
      <c r="C184" s="632"/>
      <c r="D184" s="621"/>
      <c r="E184" s="608"/>
      <c r="F184" s="366"/>
      <c r="G184" s="595"/>
      <c r="H184" s="318"/>
      <c r="I184" s="586"/>
    </row>
    <row r="185" spans="1:9" s="307" customFormat="1" ht="10.5">
      <c r="A185" s="303" t="s">
        <v>229</v>
      </c>
      <c r="B185" s="292">
        <f>COUNT($B36:B$184)+1</f>
        <v>38</v>
      </c>
      <c r="C185" s="630" t="s">
        <v>337</v>
      </c>
      <c r="D185" s="613" t="s">
        <v>57</v>
      </c>
      <c r="E185" s="601">
        <v>2</v>
      </c>
      <c r="F185" s="356"/>
      <c r="G185" s="590">
        <f>F185*E185</f>
        <v>0</v>
      </c>
      <c r="H185" s="313" t="s">
        <v>362</v>
      </c>
      <c r="I185" s="574">
        <f>SUM(G185:H185)</f>
        <v>0</v>
      </c>
    </row>
    <row r="186" spans="1:9" s="307" customFormat="1" ht="99">
      <c r="A186" s="296"/>
      <c r="B186" s="297"/>
      <c r="C186" s="634" t="s">
        <v>393</v>
      </c>
      <c r="D186" s="618"/>
      <c r="E186" s="331"/>
      <c r="F186" s="360"/>
      <c r="G186" s="332"/>
      <c r="H186" s="320"/>
      <c r="I186" s="584"/>
    </row>
    <row r="187" spans="1:9" s="336" customFormat="1" ht="12.75">
      <c r="A187" s="317"/>
      <c r="B187" s="335"/>
      <c r="C187" s="642"/>
      <c r="D187" s="621"/>
      <c r="E187" s="608"/>
      <c r="F187" s="366"/>
      <c r="G187" s="595"/>
      <c r="H187" s="318"/>
      <c r="I187" s="586"/>
    </row>
    <row r="188" spans="1:9" s="307" customFormat="1" ht="10.5">
      <c r="A188" s="308" t="s">
        <v>229</v>
      </c>
      <c r="B188" s="309">
        <f>COUNT($B35:B$187)+1</f>
        <v>39</v>
      </c>
      <c r="C188" s="328" t="s">
        <v>338</v>
      </c>
      <c r="D188" s="327" t="s">
        <v>57</v>
      </c>
      <c r="E188" s="323">
        <v>10</v>
      </c>
      <c r="F188" s="361"/>
      <c r="G188" s="324" t="s">
        <v>277</v>
      </c>
      <c r="H188" s="311">
        <f>F188*E188</f>
        <v>0</v>
      </c>
      <c r="I188" s="325">
        <f>SUM(G188:H188)</f>
        <v>0</v>
      </c>
    </row>
    <row r="189" spans="3:9" ht="12">
      <c r="C189" s="643"/>
      <c r="D189" s="611"/>
      <c r="E189" s="610"/>
      <c r="F189" s="349"/>
      <c r="G189" s="571"/>
      <c r="I189" s="588"/>
    </row>
    <row r="190" spans="1:9" s="307" customFormat="1" ht="10.5">
      <c r="A190" s="303" t="s">
        <v>229</v>
      </c>
      <c r="B190" s="292">
        <f>COUNT($B36:B$189)+1</f>
        <v>40</v>
      </c>
      <c r="C190" s="630" t="s">
        <v>339</v>
      </c>
      <c r="D190" s="613" t="s">
        <v>57</v>
      </c>
      <c r="E190" s="601">
        <v>1</v>
      </c>
      <c r="F190" s="356"/>
      <c r="G190" s="593" t="s">
        <v>277</v>
      </c>
      <c r="H190" s="313">
        <f>F190*E190</f>
        <v>0</v>
      </c>
      <c r="I190" s="574">
        <f>SUM(G190:H190)</f>
        <v>0</v>
      </c>
    </row>
    <row r="191" spans="1:9" s="307" customFormat="1" ht="21.75">
      <c r="A191" s="296"/>
      <c r="B191" s="297"/>
      <c r="C191" s="639" t="s">
        <v>340</v>
      </c>
      <c r="D191" s="614"/>
      <c r="E191" s="602"/>
      <c r="F191" s="357"/>
      <c r="G191" s="596"/>
      <c r="H191" s="314"/>
      <c r="I191" s="580"/>
    </row>
    <row r="192" spans="1:9" s="307" customFormat="1" ht="10.5">
      <c r="A192" s="299"/>
      <c r="B192" s="300"/>
      <c r="C192" s="632"/>
      <c r="D192" s="615"/>
      <c r="E192" s="603"/>
      <c r="F192" s="358"/>
      <c r="G192" s="594"/>
      <c r="H192" s="316"/>
      <c r="I192" s="579"/>
    </row>
    <row r="193" spans="1:9" s="307" customFormat="1" ht="10.5">
      <c r="A193" s="303" t="s">
        <v>229</v>
      </c>
      <c r="B193" s="292">
        <f>COUNT($B36:B$192)+1</f>
        <v>41</v>
      </c>
      <c r="C193" s="630" t="s">
        <v>341</v>
      </c>
      <c r="D193" s="613" t="s">
        <v>57</v>
      </c>
      <c r="E193" s="601">
        <v>1</v>
      </c>
      <c r="F193" s="356"/>
      <c r="G193" s="593" t="s">
        <v>277</v>
      </c>
      <c r="H193" s="313">
        <f>F193*E193</f>
        <v>0</v>
      </c>
      <c r="I193" s="574">
        <f>SUM(G193:H193)</f>
        <v>0</v>
      </c>
    </row>
    <row r="194" spans="1:9" s="307" customFormat="1" ht="43.5">
      <c r="A194" s="296"/>
      <c r="B194" s="297"/>
      <c r="C194" s="639" t="s">
        <v>342</v>
      </c>
      <c r="D194" s="614"/>
      <c r="E194" s="602"/>
      <c r="F194" s="357"/>
      <c r="G194" s="596"/>
      <c r="H194" s="314"/>
      <c r="I194" s="580"/>
    </row>
    <row r="195" spans="1:9" s="307" customFormat="1" ht="10.5">
      <c r="A195" s="299"/>
      <c r="B195" s="300"/>
      <c r="C195" s="632"/>
      <c r="D195" s="615"/>
      <c r="E195" s="603"/>
      <c r="F195" s="358"/>
      <c r="G195" s="594"/>
      <c r="H195" s="316"/>
      <c r="I195" s="579"/>
    </row>
    <row r="196" spans="1:9" s="307" customFormat="1" ht="10.5">
      <c r="A196" s="303" t="s">
        <v>229</v>
      </c>
      <c r="B196" s="292">
        <f>COUNT($B36:B$195)+1</f>
        <v>42</v>
      </c>
      <c r="C196" s="630" t="s">
        <v>343</v>
      </c>
      <c r="D196" s="613" t="s">
        <v>57</v>
      </c>
      <c r="E196" s="601">
        <v>1</v>
      </c>
      <c r="F196" s="356"/>
      <c r="G196" s="593" t="s">
        <v>277</v>
      </c>
      <c r="H196" s="313">
        <f>F196*E196</f>
        <v>0</v>
      </c>
      <c r="I196" s="574">
        <f>SUM(G196:H196)</f>
        <v>0</v>
      </c>
    </row>
    <row r="197" spans="1:9" s="307" customFormat="1" ht="43.5">
      <c r="A197" s="296"/>
      <c r="B197" s="297"/>
      <c r="C197" s="634" t="s">
        <v>394</v>
      </c>
      <c r="D197" s="614"/>
      <c r="E197" s="602"/>
      <c r="F197" s="357"/>
      <c r="G197" s="596"/>
      <c r="H197" s="314"/>
      <c r="I197" s="580"/>
    </row>
    <row r="198" spans="1:9" s="336" customFormat="1" ht="12.75">
      <c r="A198" s="317"/>
      <c r="B198" s="335"/>
      <c r="C198" s="642"/>
      <c r="D198" s="621"/>
      <c r="E198" s="608"/>
      <c r="F198" s="366"/>
      <c r="G198" s="595"/>
      <c r="H198" s="318"/>
      <c r="I198" s="586"/>
    </row>
    <row r="199" spans="1:9" s="307" customFormat="1" ht="10.5">
      <c r="A199" s="303" t="s">
        <v>229</v>
      </c>
      <c r="B199" s="292">
        <f>COUNT($B36:B$198)+1</f>
        <v>43</v>
      </c>
      <c r="C199" s="630" t="s">
        <v>344</v>
      </c>
      <c r="D199" s="613" t="s">
        <v>57</v>
      </c>
      <c r="E199" s="601">
        <v>1</v>
      </c>
      <c r="F199" s="356"/>
      <c r="G199" s="593" t="s">
        <v>277</v>
      </c>
      <c r="H199" s="313">
        <f>F199*E199</f>
        <v>0</v>
      </c>
      <c r="I199" s="574">
        <f>SUM(G199:H199)</f>
        <v>0</v>
      </c>
    </row>
    <row r="200" spans="1:9" s="307" customFormat="1" ht="21.75">
      <c r="A200" s="296"/>
      <c r="B200" s="297"/>
      <c r="C200" s="639" t="s">
        <v>345</v>
      </c>
      <c r="D200" s="614"/>
      <c r="E200" s="602"/>
      <c r="F200" s="357"/>
      <c r="G200" s="596"/>
      <c r="H200" s="314"/>
      <c r="I200" s="580"/>
    </row>
    <row r="201" spans="1:9" s="307" customFormat="1" ht="10.5">
      <c r="A201" s="299"/>
      <c r="B201" s="300"/>
      <c r="C201" s="632"/>
      <c r="D201" s="615"/>
      <c r="E201" s="603"/>
      <c r="F201" s="358"/>
      <c r="G201" s="594"/>
      <c r="H201" s="316"/>
      <c r="I201" s="579"/>
    </row>
    <row r="202" spans="1:9" s="307" customFormat="1" ht="10.5">
      <c r="A202" s="303" t="s">
        <v>229</v>
      </c>
      <c r="B202" s="292">
        <f>COUNT($B30:B$201)+1</f>
        <v>44</v>
      </c>
      <c r="C202" s="630" t="s">
        <v>346</v>
      </c>
      <c r="D202" s="613" t="s">
        <v>57</v>
      </c>
      <c r="E202" s="601">
        <v>1</v>
      </c>
      <c r="F202" s="356"/>
      <c r="G202" s="590">
        <f>F202*E202</f>
        <v>0</v>
      </c>
      <c r="H202" s="313" t="s">
        <v>362</v>
      </c>
      <c r="I202" s="574">
        <f>SUM(G202:H202)</f>
        <v>0</v>
      </c>
    </row>
    <row r="203" spans="1:9" s="307" customFormat="1" ht="54.75">
      <c r="A203" s="296"/>
      <c r="B203" s="297"/>
      <c r="C203" s="639" t="s">
        <v>347</v>
      </c>
      <c r="D203" s="614"/>
      <c r="E203" s="602"/>
      <c r="F203" s="357"/>
      <c r="G203" s="596"/>
      <c r="H203" s="314"/>
      <c r="I203" s="580"/>
    </row>
    <row r="204" spans="1:9" s="307" customFormat="1" ht="10.5">
      <c r="A204" s="299"/>
      <c r="B204" s="300"/>
      <c r="C204" s="632"/>
      <c r="D204" s="615"/>
      <c r="E204" s="603"/>
      <c r="F204" s="358"/>
      <c r="G204" s="594"/>
      <c r="H204" s="316"/>
      <c r="I204" s="579"/>
    </row>
    <row r="205" spans="1:9" s="307" customFormat="1" ht="10.5">
      <c r="A205" s="303" t="s">
        <v>229</v>
      </c>
      <c r="B205" s="292">
        <f>COUNT($B35:B$201)+1</f>
        <v>44</v>
      </c>
      <c r="C205" s="630" t="s">
        <v>348</v>
      </c>
      <c r="D205" s="613" t="s">
        <v>57</v>
      </c>
      <c r="E205" s="601">
        <v>1</v>
      </c>
      <c r="F205" s="356"/>
      <c r="G205" s="590">
        <f>F205*E205</f>
        <v>0</v>
      </c>
      <c r="H205" s="313" t="s">
        <v>362</v>
      </c>
      <c r="I205" s="574">
        <f>SUM(G205:H205)</f>
        <v>0</v>
      </c>
    </row>
    <row r="206" spans="1:9" s="307" customFormat="1" ht="66">
      <c r="A206" s="296"/>
      <c r="B206" s="297"/>
      <c r="C206" s="639" t="s">
        <v>349</v>
      </c>
      <c r="D206" s="618"/>
      <c r="E206" s="331"/>
      <c r="F206" s="360"/>
      <c r="G206" s="332"/>
      <c r="H206" s="320"/>
      <c r="I206" s="584"/>
    </row>
    <row r="207" spans="1:9" s="307" customFormat="1" ht="12.75" customHeight="1">
      <c r="A207" s="299"/>
      <c r="B207" s="300"/>
      <c r="C207" s="632"/>
      <c r="D207" s="617"/>
      <c r="E207" s="606"/>
      <c r="F207" s="359"/>
      <c r="G207" s="595"/>
      <c r="H207" s="318"/>
      <c r="I207" s="586"/>
    </row>
    <row r="208" spans="1:9" s="307" customFormat="1" ht="10.5">
      <c r="A208" s="303" t="s">
        <v>229</v>
      </c>
      <c r="B208" s="292">
        <f>COUNT($B38:B$201)+1</f>
        <v>43</v>
      </c>
      <c r="C208" s="630" t="s">
        <v>350</v>
      </c>
      <c r="D208" s="613" t="s">
        <v>57</v>
      </c>
      <c r="E208" s="601">
        <v>1</v>
      </c>
      <c r="F208" s="356"/>
      <c r="G208" s="590">
        <f>F208*E208</f>
        <v>0</v>
      </c>
      <c r="H208" s="313" t="s">
        <v>362</v>
      </c>
      <c r="I208" s="574">
        <f>SUM(G208:H208)</f>
        <v>0</v>
      </c>
    </row>
    <row r="209" spans="1:9" s="307" customFormat="1" ht="87.75">
      <c r="A209" s="299"/>
      <c r="B209" s="300"/>
      <c r="C209" s="632" t="s">
        <v>351</v>
      </c>
      <c r="D209" s="617"/>
      <c r="E209" s="606"/>
      <c r="F209" s="359"/>
      <c r="G209" s="595"/>
      <c r="H209" s="318"/>
      <c r="I209" s="586"/>
    </row>
    <row r="210" spans="1:9" s="307" customFormat="1" ht="54.75">
      <c r="A210" s="296"/>
      <c r="B210" s="297"/>
      <c r="C210" s="639" t="s">
        <v>352</v>
      </c>
      <c r="D210" s="618"/>
      <c r="E210" s="331"/>
      <c r="F210" s="360"/>
      <c r="G210" s="332"/>
      <c r="H210" s="320"/>
      <c r="I210" s="584"/>
    </row>
    <row r="211" spans="1:9" s="307" customFormat="1" ht="10.5">
      <c r="A211" s="299"/>
      <c r="B211" s="300"/>
      <c r="C211" s="632"/>
      <c r="D211" s="615"/>
      <c r="E211" s="603"/>
      <c r="F211" s="358"/>
      <c r="G211" s="594"/>
      <c r="H211" s="316"/>
      <c r="I211" s="579"/>
    </row>
    <row r="212" spans="1:9" s="307" customFormat="1" ht="16.5" customHeight="1">
      <c r="A212" s="303" t="s">
        <v>229</v>
      </c>
      <c r="B212" s="292">
        <f>COUNT($B35:B$211)+1</f>
        <v>47</v>
      </c>
      <c r="C212" s="630" t="s">
        <v>353</v>
      </c>
      <c r="D212" s="613" t="s">
        <v>57</v>
      </c>
      <c r="E212" s="601">
        <v>1</v>
      </c>
      <c r="F212" s="356"/>
      <c r="G212" s="593" t="s">
        <v>277</v>
      </c>
      <c r="H212" s="313">
        <f>F212*E212</f>
        <v>0</v>
      </c>
      <c r="I212" s="574">
        <f>SUM(G212:H212)</f>
        <v>0</v>
      </c>
    </row>
    <row r="213" spans="1:9" s="307" customFormat="1" ht="21.75">
      <c r="A213" s="296"/>
      <c r="B213" s="297"/>
      <c r="C213" s="644" t="s">
        <v>354</v>
      </c>
      <c r="D213" s="614"/>
      <c r="E213" s="602"/>
      <c r="F213" s="357"/>
      <c r="G213" s="596"/>
      <c r="H213" s="314"/>
      <c r="I213" s="580"/>
    </row>
    <row r="214" spans="1:9" s="307" customFormat="1" ht="10.5">
      <c r="A214" s="299"/>
      <c r="B214" s="300"/>
      <c r="C214" s="632"/>
      <c r="D214" s="615"/>
      <c r="E214" s="603"/>
      <c r="F214" s="358"/>
      <c r="G214" s="594"/>
      <c r="H214" s="316"/>
      <c r="I214" s="579"/>
    </row>
    <row r="215" spans="1:9" s="307" customFormat="1" ht="10.5">
      <c r="A215" s="303" t="s">
        <v>229</v>
      </c>
      <c r="B215" s="292">
        <f>COUNT($B35:B$214)+1</f>
        <v>48</v>
      </c>
      <c r="C215" s="630" t="s">
        <v>355</v>
      </c>
      <c r="D215" s="613" t="s">
        <v>57</v>
      </c>
      <c r="E215" s="601">
        <v>1</v>
      </c>
      <c r="F215" s="356"/>
      <c r="G215" s="593" t="s">
        <v>277</v>
      </c>
      <c r="H215" s="313">
        <f>F215*E215</f>
        <v>0</v>
      </c>
      <c r="I215" s="574">
        <f>SUM(G215:H215)</f>
        <v>0</v>
      </c>
    </row>
    <row r="216" spans="1:9" s="307" customFormat="1" ht="21.75">
      <c r="A216" s="296"/>
      <c r="B216" s="297"/>
      <c r="C216" s="644" t="s">
        <v>356</v>
      </c>
      <c r="D216" s="614"/>
      <c r="E216" s="602"/>
      <c r="F216" s="357"/>
      <c r="G216" s="596"/>
      <c r="H216" s="314"/>
      <c r="I216" s="580"/>
    </row>
    <row r="217" spans="1:9" s="307" customFormat="1" ht="12.75" customHeight="1">
      <c r="A217" s="299"/>
      <c r="B217" s="300"/>
      <c r="C217" s="338"/>
      <c r="D217" s="268"/>
      <c r="E217" s="301"/>
      <c r="F217" s="358"/>
      <c r="G217" s="316"/>
      <c r="H217" s="316"/>
      <c r="I217" s="270"/>
    </row>
    <row r="218" spans="1:9" s="307" customFormat="1" ht="12.75" customHeight="1">
      <c r="A218" s="299"/>
      <c r="B218" s="300"/>
      <c r="C218" s="338"/>
      <c r="D218" s="268"/>
      <c r="E218" s="301"/>
      <c r="F218" s="315"/>
      <c r="G218" s="316"/>
      <c r="H218" s="316"/>
      <c r="I218" s="270"/>
    </row>
    <row r="219" spans="1:9" s="339" customFormat="1" ht="18" thickBot="1">
      <c r="A219" s="556"/>
      <c r="B219" s="556"/>
      <c r="C219" s="557" t="s">
        <v>408</v>
      </c>
      <c r="D219" s="558"/>
      <c r="E219" s="559"/>
      <c r="F219" s="560"/>
      <c r="G219" s="495">
        <f>SUM(G36:G218)</f>
        <v>0</v>
      </c>
      <c r="H219" s="495">
        <f>SUM(H36:H218)</f>
        <v>0</v>
      </c>
      <c r="I219" s="495">
        <f>SUM(I36:I218)</f>
        <v>0</v>
      </c>
    </row>
    <row r="220" spans="1:9" s="345" customFormat="1" ht="14.25" customHeight="1">
      <c r="A220" s="340"/>
      <c r="B220" s="340"/>
      <c r="C220" s="341"/>
      <c r="D220" s="340"/>
      <c r="E220" s="342"/>
      <c r="F220" s="343"/>
      <c r="G220" s="343"/>
      <c r="H220" s="343"/>
      <c r="I220" s="344"/>
    </row>
    <row r="221" spans="1:9" s="345" customFormat="1" ht="12.75" customHeight="1">
      <c r="A221" s="346"/>
      <c r="B221" s="346"/>
      <c r="C221" s="347"/>
      <c r="D221" s="346"/>
      <c r="E221" s="346"/>
      <c r="F221" s="346"/>
      <c r="G221" s="346"/>
      <c r="H221" s="346"/>
      <c r="I221" s="348"/>
    </row>
    <row r="222" spans="1:9" s="272" customFormat="1" ht="10.5">
      <c r="A222" s="268"/>
      <c r="B222" s="268"/>
      <c r="C222" s="335"/>
      <c r="D222" s="268"/>
      <c r="E222" s="261"/>
      <c r="F222" s="262"/>
      <c r="G222" s="262"/>
      <c r="H222" s="262"/>
      <c r="I222" s="279"/>
    </row>
    <row r="223" spans="1:9" s="272" customFormat="1" ht="10.5">
      <c r="A223" s="268"/>
      <c r="B223" s="268"/>
      <c r="C223" s="335"/>
      <c r="D223" s="268"/>
      <c r="E223" s="261"/>
      <c r="F223" s="262"/>
      <c r="G223" s="262"/>
      <c r="H223" s="262"/>
      <c r="I223" s="279"/>
    </row>
    <row r="224" spans="1:9" s="272" customFormat="1" ht="10.5">
      <c r="A224" s="268"/>
      <c r="B224" s="268"/>
      <c r="C224" s="335"/>
      <c r="D224" s="268"/>
      <c r="E224" s="261"/>
      <c r="F224" s="262"/>
      <c r="G224" s="262"/>
      <c r="H224" s="262"/>
      <c r="I224" s="279"/>
    </row>
    <row r="225" spans="1:9" s="272" customFormat="1" ht="10.5">
      <c r="A225" s="268"/>
      <c r="B225" s="268"/>
      <c r="C225" s="335"/>
      <c r="D225" s="268"/>
      <c r="E225" s="261"/>
      <c r="F225" s="262"/>
      <c r="G225" s="262"/>
      <c r="H225" s="262"/>
      <c r="I225" s="279"/>
    </row>
    <row r="226" spans="1:9" s="272" customFormat="1" ht="10.5">
      <c r="A226" s="268"/>
      <c r="B226" s="268"/>
      <c r="C226" s="335"/>
      <c r="D226" s="268"/>
      <c r="E226" s="261"/>
      <c r="F226" s="262"/>
      <c r="G226" s="262"/>
      <c r="H226" s="262"/>
      <c r="I226" s="279"/>
    </row>
    <row r="227" spans="1:9" s="272" customFormat="1" ht="10.5">
      <c r="A227" s="268"/>
      <c r="B227" s="268"/>
      <c r="C227" s="335"/>
      <c r="D227" s="268"/>
      <c r="E227" s="261"/>
      <c r="F227" s="262"/>
      <c r="G227" s="262"/>
      <c r="H227" s="262"/>
      <c r="I227" s="279"/>
    </row>
    <row r="228" spans="1:9" s="272" customFormat="1" ht="10.5">
      <c r="A228" s="268"/>
      <c r="B228" s="268"/>
      <c r="C228" s="335"/>
      <c r="D228" s="268"/>
      <c r="E228" s="261"/>
      <c r="F228" s="262"/>
      <c r="G228" s="262"/>
      <c r="H228" s="262"/>
      <c r="I228" s="279"/>
    </row>
    <row r="229" spans="1:9" s="272" customFormat="1" ht="10.5">
      <c r="A229" s="268"/>
      <c r="B229" s="268"/>
      <c r="C229" s="335"/>
      <c r="D229" s="268"/>
      <c r="E229" s="261"/>
      <c r="F229" s="262"/>
      <c r="G229" s="262"/>
      <c r="H229" s="262"/>
      <c r="I229" s="279"/>
    </row>
    <row r="230" spans="1:9" s="272" customFormat="1" ht="10.5">
      <c r="A230" s="268"/>
      <c r="B230" s="268"/>
      <c r="C230" s="335"/>
      <c r="D230" s="268"/>
      <c r="E230" s="261"/>
      <c r="F230" s="262"/>
      <c r="G230" s="262"/>
      <c r="H230" s="262"/>
      <c r="I230" s="279"/>
    </row>
    <row r="231" spans="1:9" s="272" customFormat="1" ht="10.5">
      <c r="A231" s="268"/>
      <c r="B231" s="268"/>
      <c r="C231" s="335"/>
      <c r="D231" s="268"/>
      <c r="E231" s="261"/>
      <c r="F231" s="262"/>
      <c r="G231" s="262"/>
      <c r="H231" s="262"/>
      <c r="I231" s="279"/>
    </row>
    <row r="232" spans="1:9" s="272" customFormat="1" ht="10.5">
      <c r="A232" s="268"/>
      <c r="B232" s="268"/>
      <c r="C232" s="335"/>
      <c r="D232" s="268"/>
      <c r="E232" s="261"/>
      <c r="F232" s="262"/>
      <c r="G232" s="262"/>
      <c r="H232" s="262"/>
      <c r="I232" s="279"/>
    </row>
    <row r="233" spans="1:9" s="272" customFormat="1" ht="10.5">
      <c r="A233" s="268"/>
      <c r="B233" s="268"/>
      <c r="C233" s="335"/>
      <c r="D233" s="268"/>
      <c r="E233" s="261"/>
      <c r="F233" s="262"/>
      <c r="G233" s="262"/>
      <c r="H233" s="262"/>
      <c r="I233" s="279"/>
    </row>
    <row r="234" spans="1:9" s="272" customFormat="1" ht="10.5">
      <c r="A234" s="268"/>
      <c r="B234" s="268"/>
      <c r="C234" s="335"/>
      <c r="D234" s="268"/>
      <c r="E234" s="261"/>
      <c r="F234" s="262"/>
      <c r="G234" s="262"/>
      <c r="H234" s="262"/>
      <c r="I234" s="279"/>
    </row>
    <row r="235" spans="1:9" s="272" customFormat="1" ht="10.5">
      <c r="A235" s="268"/>
      <c r="B235" s="268"/>
      <c r="C235" s="335"/>
      <c r="D235" s="268"/>
      <c r="E235" s="261"/>
      <c r="F235" s="262"/>
      <c r="G235" s="262"/>
      <c r="H235" s="262"/>
      <c r="I235" s="279"/>
    </row>
    <row r="236" spans="1:9" s="272" customFormat="1" ht="10.5">
      <c r="A236" s="268"/>
      <c r="B236" s="268"/>
      <c r="C236" s="335"/>
      <c r="D236" s="268"/>
      <c r="E236" s="261"/>
      <c r="F236" s="262"/>
      <c r="G236" s="262"/>
      <c r="H236" s="262"/>
      <c r="I236" s="279"/>
    </row>
    <row r="237" spans="1:9" s="272" customFormat="1" ht="10.5">
      <c r="A237" s="268"/>
      <c r="B237" s="268"/>
      <c r="C237" s="335"/>
      <c r="D237" s="268"/>
      <c r="E237" s="261"/>
      <c r="F237" s="262"/>
      <c r="G237" s="262"/>
      <c r="H237" s="262"/>
      <c r="I237" s="279"/>
    </row>
    <row r="238" spans="1:9" s="272" customFormat="1" ht="10.5">
      <c r="A238" s="268"/>
      <c r="B238" s="268"/>
      <c r="C238" s="335"/>
      <c r="D238" s="268"/>
      <c r="E238" s="261"/>
      <c r="F238" s="262"/>
      <c r="G238" s="262"/>
      <c r="H238" s="262"/>
      <c r="I238" s="279"/>
    </row>
    <row r="239" spans="1:9" s="272" customFormat="1" ht="10.5">
      <c r="A239" s="268"/>
      <c r="B239" s="268"/>
      <c r="C239" s="335"/>
      <c r="D239" s="268"/>
      <c r="E239" s="261"/>
      <c r="F239" s="262"/>
      <c r="G239" s="262"/>
      <c r="H239" s="262"/>
      <c r="I239" s="279"/>
    </row>
    <row r="240" spans="1:9" s="272" customFormat="1" ht="10.5">
      <c r="A240" s="268"/>
      <c r="B240" s="268"/>
      <c r="C240" s="335"/>
      <c r="D240" s="268"/>
      <c r="E240" s="261"/>
      <c r="F240" s="262"/>
      <c r="G240" s="262"/>
      <c r="H240" s="262"/>
      <c r="I240" s="279"/>
    </row>
    <row r="241" spans="1:9" s="272" customFormat="1" ht="10.5">
      <c r="A241" s="268"/>
      <c r="B241" s="268"/>
      <c r="C241" s="335"/>
      <c r="D241" s="268"/>
      <c r="E241" s="261"/>
      <c r="F241" s="262"/>
      <c r="G241" s="262"/>
      <c r="H241" s="262"/>
      <c r="I241" s="279"/>
    </row>
    <row r="242" spans="1:9" s="272" customFormat="1" ht="10.5">
      <c r="A242" s="268"/>
      <c r="B242" s="268"/>
      <c r="C242" s="335"/>
      <c r="D242" s="268"/>
      <c r="E242" s="261"/>
      <c r="F242" s="262"/>
      <c r="G242" s="262"/>
      <c r="H242" s="262"/>
      <c r="I242" s="279"/>
    </row>
    <row r="243" spans="1:9" s="272" customFormat="1" ht="10.5">
      <c r="A243" s="268"/>
      <c r="B243" s="268"/>
      <c r="C243" s="335"/>
      <c r="D243" s="268"/>
      <c r="E243" s="261"/>
      <c r="F243" s="262"/>
      <c r="G243" s="262"/>
      <c r="H243" s="262"/>
      <c r="I243" s="279"/>
    </row>
    <row r="244" spans="1:9" s="272" customFormat="1" ht="10.5">
      <c r="A244" s="268"/>
      <c r="B244" s="268"/>
      <c r="C244" s="335"/>
      <c r="D244" s="268"/>
      <c r="E244" s="261"/>
      <c r="F244" s="262"/>
      <c r="G244" s="262"/>
      <c r="H244" s="262"/>
      <c r="I244" s="279"/>
    </row>
    <row r="245" spans="1:9" s="272" customFormat="1" ht="10.5">
      <c r="A245" s="268"/>
      <c r="B245" s="268"/>
      <c r="C245" s="335"/>
      <c r="D245" s="268"/>
      <c r="E245" s="261"/>
      <c r="F245" s="262"/>
      <c r="G245" s="262"/>
      <c r="H245" s="262"/>
      <c r="I245" s="279"/>
    </row>
    <row r="246" spans="1:9" s="272" customFormat="1" ht="10.5">
      <c r="A246" s="268"/>
      <c r="B246" s="268"/>
      <c r="C246" s="335"/>
      <c r="D246" s="268"/>
      <c r="E246" s="261"/>
      <c r="F246" s="262"/>
      <c r="G246" s="262"/>
      <c r="H246" s="262"/>
      <c r="I246" s="279"/>
    </row>
    <row r="247" spans="1:9" s="272" customFormat="1" ht="10.5">
      <c r="A247" s="268"/>
      <c r="B247" s="268"/>
      <c r="C247" s="335"/>
      <c r="D247" s="268"/>
      <c r="E247" s="261"/>
      <c r="F247" s="262"/>
      <c r="G247" s="262"/>
      <c r="H247" s="262"/>
      <c r="I247" s="279"/>
    </row>
    <row r="248" spans="1:9" s="272" customFormat="1" ht="10.5">
      <c r="A248" s="268"/>
      <c r="B248" s="268"/>
      <c r="C248" s="335"/>
      <c r="D248" s="268"/>
      <c r="E248" s="261"/>
      <c r="F248" s="262"/>
      <c r="G248" s="262"/>
      <c r="H248" s="262"/>
      <c r="I248" s="279"/>
    </row>
    <row r="249" spans="1:9" s="272" customFormat="1" ht="10.5">
      <c r="A249" s="268"/>
      <c r="B249" s="268"/>
      <c r="C249" s="335"/>
      <c r="D249" s="268"/>
      <c r="E249" s="261"/>
      <c r="F249" s="262"/>
      <c r="G249" s="262"/>
      <c r="H249" s="262"/>
      <c r="I249" s="279"/>
    </row>
    <row r="250" spans="1:9" s="272" customFormat="1" ht="10.5">
      <c r="A250" s="268"/>
      <c r="B250" s="268"/>
      <c r="C250" s="335"/>
      <c r="D250" s="268"/>
      <c r="E250" s="261"/>
      <c r="F250" s="262"/>
      <c r="G250" s="262"/>
      <c r="H250" s="262"/>
      <c r="I250" s="279"/>
    </row>
    <row r="251" spans="1:9" s="272" customFormat="1" ht="10.5">
      <c r="A251" s="268"/>
      <c r="B251" s="268"/>
      <c r="C251" s="335"/>
      <c r="D251" s="268"/>
      <c r="E251" s="261"/>
      <c r="F251" s="262"/>
      <c r="G251" s="262"/>
      <c r="H251" s="262"/>
      <c r="I251" s="279"/>
    </row>
    <row r="252" spans="1:9" s="272" customFormat="1" ht="10.5">
      <c r="A252" s="268"/>
      <c r="B252" s="268"/>
      <c r="C252" s="335"/>
      <c r="D252" s="268"/>
      <c r="E252" s="261"/>
      <c r="F252" s="262"/>
      <c r="G252" s="262"/>
      <c r="H252" s="262"/>
      <c r="I252" s="279"/>
    </row>
    <row r="253" spans="1:9" s="272" customFormat="1" ht="10.5">
      <c r="A253" s="268"/>
      <c r="B253" s="268"/>
      <c r="C253" s="335"/>
      <c r="D253" s="268"/>
      <c r="E253" s="261"/>
      <c r="F253" s="262"/>
      <c r="G253" s="262"/>
      <c r="H253" s="262"/>
      <c r="I253" s="279"/>
    </row>
    <row r="254" spans="1:9" s="272" customFormat="1" ht="10.5">
      <c r="A254" s="268"/>
      <c r="B254" s="268"/>
      <c r="C254" s="335"/>
      <c r="D254" s="268"/>
      <c r="E254" s="261"/>
      <c r="F254" s="262"/>
      <c r="G254" s="262"/>
      <c r="H254" s="262"/>
      <c r="I254" s="279"/>
    </row>
    <row r="255" spans="1:9" s="272" customFormat="1" ht="10.5">
      <c r="A255" s="268"/>
      <c r="B255" s="268"/>
      <c r="C255" s="335"/>
      <c r="D255" s="268"/>
      <c r="E255" s="261"/>
      <c r="F255" s="262"/>
      <c r="G255" s="262"/>
      <c r="H255" s="262"/>
      <c r="I255" s="279"/>
    </row>
    <row r="256" spans="1:9" s="272" customFormat="1" ht="10.5">
      <c r="A256" s="268"/>
      <c r="B256" s="268"/>
      <c r="C256" s="335"/>
      <c r="D256" s="268"/>
      <c r="E256" s="261"/>
      <c r="F256" s="262"/>
      <c r="G256" s="262"/>
      <c r="H256" s="262"/>
      <c r="I256" s="279"/>
    </row>
    <row r="257" spans="1:9" s="272" customFormat="1" ht="10.5">
      <c r="A257" s="268"/>
      <c r="B257" s="268"/>
      <c r="C257" s="335"/>
      <c r="D257" s="268"/>
      <c r="E257" s="261"/>
      <c r="F257" s="262"/>
      <c r="G257" s="262"/>
      <c r="H257" s="262"/>
      <c r="I257" s="279"/>
    </row>
    <row r="258" spans="1:9" s="272" customFormat="1" ht="10.5">
      <c r="A258" s="268"/>
      <c r="B258" s="268"/>
      <c r="C258" s="335"/>
      <c r="D258" s="268"/>
      <c r="E258" s="261"/>
      <c r="F258" s="262"/>
      <c r="G258" s="262"/>
      <c r="H258" s="262"/>
      <c r="I258" s="279"/>
    </row>
    <row r="259" spans="1:9" s="272" customFormat="1" ht="10.5">
      <c r="A259" s="268"/>
      <c r="B259" s="268"/>
      <c r="C259" s="335"/>
      <c r="D259" s="268"/>
      <c r="E259" s="261"/>
      <c r="F259" s="262"/>
      <c r="G259" s="262"/>
      <c r="H259" s="262"/>
      <c r="I259" s="279"/>
    </row>
    <row r="260" spans="1:9" s="272" customFormat="1" ht="10.5">
      <c r="A260" s="268"/>
      <c r="B260" s="268"/>
      <c r="C260" s="335"/>
      <c r="D260" s="268"/>
      <c r="E260" s="261"/>
      <c r="F260" s="262"/>
      <c r="G260" s="262"/>
      <c r="H260" s="262"/>
      <c r="I260" s="279"/>
    </row>
    <row r="261" spans="1:9" s="272" customFormat="1" ht="10.5">
      <c r="A261" s="268"/>
      <c r="B261" s="268"/>
      <c r="C261" s="335"/>
      <c r="D261" s="268"/>
      <c r="E261" s="261"/>
      <c r="F261" s="262"/>
      <c r="G261" s="262"/>
      <c r="H261" s="262"/>
      <c r="I261" s="279"/>
    </row>
    <row r="262" spans="1:9" s="272" customFormat="1" ht="10.5">
      <c r="A262" s="268"/>
      <c r="B262" s="268"/>
      <c r="C262" s="335"/>
      <c r="D262" s="268"/>
      <c r="E262" s="261"/>
      <c r="F262" s="262"/>
      <c r="G262" s="262"/>
      <c r="H262" s="262"/>
      <c r="I262" s="279"/>
    </row>
    <row r="263" spans="1:9" s="272" customFormat="1" ht="10.5">
      <c r="A263" s="268"/>
      <c r="B263" s="268"/>
      <c r="C263" s="335"/>
      <c r="D263" s="268"/>
      <c r="E263" s="261"/>
      <c r="F263" s="262"/>
      <c r="G263" s="262"/>
      <c r="H263" s="262"/>
      <c r="I263" s="279"/>
    </row>
    <row r="264" spans="1:9" s="272" customFormat="1" ht="10.5">
      <c r="A264" s="268"/>
      <c r="B264" s="268"/>
      <c r="C264" s="335"/>
      <c r="D264" s="268"/>
      <c r="E264" s="261"/>
      <c r="F264" s="262"/>
      <c r="G264" s="262"/>
      <c r="H264" s="262"/>
      <c r="I264" s="279"/>
    </row>
    <row r="265" spans="1:9" s="272" customFormat="1" ht="10.5">
      <c r="A265" s="268"/>
      <c r="B265" s="268"/>
      <c r="C265" s="335"/>
      <c r="D265" s="268"/>
      <c r="E265" s="261"/>
      <c r="F265" s="262"/>
      <c r="G265" s="262"/>
      <c r="H265" s="262"/>
      <c r="I265" s="279"/>
    </row>
    <row r="266" spans="1:9" s="272" customFormat="1" ht="10.5">
      <c r="A266" s="268"/>
      <c r="B266" s="268"/>
      <c r="C266" s="335"/>
      <c r="D266" s="268"/>
      <c r="E266" s="261"/>
      <c r="F266" s="262"/>
      <c r="G266" s="262"/>
      <c r="H266" s="262"/>
      <c r="I266" s="279"/>
    </row>
    <row r="267" spans="1:9" s="272" customFormat="1" ht="10.5">
      <c r="A267" s="268"/>
      <c r="B267" s="268"/>
      <c r="C267" s="335"/>
      <c r="D267" s="268"/>
      <c r="E267" s="261"/>
      <c r="F267" s="262"/>
      <c r="G267" s="262"/>
      <c r="H267" s="262"/>
      <c r="I267" s="279"/>
    </row>
    <row r="268" spans="1:9" s="272" customFormat="1" ht="10.5">
      <c r="A268" s="268"/>
      <c r="B268" s="268"/>
      <c r="C268" s="335"/>
      <c r="D268" s="268"/>
      <c r="E268" s="261"/>
      <c r="F268" s="262"/>
      <c r="G268" s="262"/>
      <c r="H268" s="262"/>
      <c r="I268" s="279"/>
    </row>
    <row r="269" spans="1:9" s="272" customFormat="1" ht="10.5">
      <c r="A269" s="268"/>
      <c r="B269" s="268"/>
      <c r="C269" s="335"/>
      <c r="D269" s="268"/>
      <c r="E269" s="261"/>
      <c r="F269" s="262"/>
      <c r="G269" s="262"/>
      <c r="H269" s="262"/>
      <c r="I269" s="279"/>
    </row>
    <row r="270" spans="1:9" s="272" customFormat="1" ht="10.5">
      <c r="A270" s="268"/>
      <c r="B270" s="268"/>
      <c r="C270" s="335"/>
      <c r="D270" s="268"/>
      <c r="E270" s="261"/>
      <c r="F270" s="262"/>
      <c r="G270" s="262"/>
      <c r="H270" s="262"/>
      <c r="I270" s="279"/>
    </row>
    <row r="271" spans="1:9" s="272" customFormat="1" ht="10.5">
      <c r="A271" s="268"/>
      <c r="B271" s="268"/>
      <c r="C271" s="335"/>
      <c r="D271" s="268"/>
      <c r="E271" s="261"/>
      <c r="F271" s="262"/>
      <c r="G271" s="262"/>
      <c r="H271" s="262"/>
      <c r="I271" s="279"/>
    </row>
    <row r="272" spans="1:9" s="272" customFormat="1" ht="10.5">
      <c r="A272" s="268"/>
      <c r="B272" s="268"/>
      <c r="C272" s="335"/>
      <c r="D272" s="268"/>
      <c r="E272" s="261"/>
      <c r="F272" s="262"/>
      <c r="G272" s="262"/>
      <c r="H272" s="262"/>
      <c r="I272" s="279"/>
    </row>
    <row r="273" spans="1:9" s="272" customFormat="1" ht="10.5">
      <c r="A273" s="268"/>
      <c r="B273" s="268"/>
      <c r="C273" s="335"/>
      <c r="D273" s="268"/>
      <c r="E273" s="261"/>
      <c r="F273" s="262"/>
      <c r="G273" s="262"/>
      <c r="H273" s="262"/>
      <c r="I273" s="279"/>
    </row>
    <row r="274" spans="1:9" s="272" customFormat="1" ht="10.5">
      <c r="A274" s="268"/>
      <c r="B274" s="268"/>
      <c r="C274" s="335"/>
      <c r="D274" s="268"/>
      <c r="E274" s="261"/>
      <c r="F274" s="262"/>
      <c r="G274" s="262"/>
      <c r="H274" s="262"/>
      <c r="I274" s="279"/>
    </row>
    <row r="275" spans="1:9" s="272" customFormat="1" ht="10.5">
      <c r="A275" s="268"/>
      <c r="B275" s="268"/>
      <c r="C275" s="335"/>
      <c r="D275" s="268"/>
      <c r="E275" s="261"/>
      <c r="F275" s="262"/>
      <c r="G275" s="262"/>
      <c r="H275" s="262"/>
      <c r="I275" s="279"/>
    </row>
    <row r="276" spans="1:9" s="272" customFormat="1" ht="10.5">
      <c r="A276" s="268"/>
      <c r="B276" s="268"/>
      <c r="C276" s="335"/>
      <c r="D276" s="268"/>
      <c r="E276" s="261"/>
      <c r="F276" s="262"/>
      <c r="G276" s="262"/>
      <c r="H276" s="262"/>
      <c r="I276" s="279"/>
    </row>
    <row r="277" spans="1:9" s="272" customFormat="1" ht="10.5">
      <c r="A277" s="268"/>
      <c r="B277" s="268"/>
      <c r="C277" s="335"/>
      <c r="D277" s="268"/>
      <c r="E277" s="261"/>
      <c r="F277" s="262"/>
      <c r="G277" s="262"/>
      <c r="H277" s="262"/>
      <c r="I277" s="279"/>
    </row>
    <row r="278" spans="1:9" s="272" customFormat="1" ht="10.5">
      <c r="A278" s="268"/>
      <c r="B278" s="268"/>
      <c r="C278" s="335"/>
      <c r="D278" s="268"/>
      <c r="E278" s="261"/>
      <c r="F278" s="262"/>
      <c r="G278" s="262"/>
      <c r="H278" s="262"/>
      <c r="I278" s="279"/>
    </row>
    <row r="279" spans="1:9" s="272" customFormat="1" ht="10.5">
      <c r="A279" s="268"/>
      <c r="B279" s="268"/>
      <c r="C279" s="335"/>
      <c r="D279" s="268"/>
      <c r="E279" s="261"/>
      <c r="F279" s="262"/>
      <c r="G279" s="262"/>
      <c r="H279" s="262"/>
      <c r="I279" s="279"/>
    </row>
    <row r="280" spans="1:9" s="272" customFormat="1" ht="10.5">
      <c r="A280" s="268"/>
      <c r="B280" s="268"/>
      <c r="C280" s="335"/>
      <c r="D280" s="268"/>
      <c r="E280" s="261"/>
      <c r="F280" s="262"/>
      <c r="G280" s="262"/>
      <c r="H280" s="262"/>
      <c r="I280" s="279"/>
    </row>
    <row r="281" spans="1:9" s="272" customFormat="1" ht="10.5">
      <c r="A281" s="268"/>
      <c r="B281" s="268"/>
      <c r="C281" s="335"/>
      <c r="D281" s="268"/>
      <c r="E281" s="261"/>
      <c r="F281" s="262"/>
      <c r="G281" s="262"/>
      <c r="H281" s="262"/>
      <c r="I281" s="279"/>
    </row>
    <row r="282" spans="1:9" s="272" customFormat="1" ht="10.5">
      <c r="A282" s="268"/>
      <c r="B282" s="268"/>
      <c r="C282" s="335"/>
      <c r="D282" s="268"/>
      <c r="E282" s="261"/>
      <c r="F282" s="262"/>
      <c r="G282" s="262"/>
      <c r="H282" s="262"/>
      <c r="I282" s="279"/>
    </row>
    <row r="283" spans="1:9" s="272" customFormat="1" ht="10.5">
      <c r="A283" s="268"/>
      <c r="B283" s="268"/>
      <c r="C283" s="335"/>
      <c r="D283" s="268"/>
      <c r="E283" s="261"/>
      <c r="F283" s="262"/>
      <c r="G283" s="262"/>
      <c r="H283" s="262"/>
      <c r="I283" s="279"/>
    </row>
    <row r="284" spans="1:9" s="272" customFormat="1" ht="10.5">
      <c r="A284" s="268"/>
      <c r="B284" s="268"/>
      <c r="C284" s="335"/>
      <c r="D284" s="268"/>
      <c r="E284" s="261"/>
      <c r="F284" s="262"/>
      <c r="G284" s="262"/>
      <c r="H284" s="262"/>
      <c r="I284" s="279"/>
    </row>
    <row r="285" spans="1:9" s="272" customFormat="1" ht="10.5">
      <c r="A285" s="268"/>
      <c r="B285" s="268"/>
      <c r="C285" s="335"/>
      <c r="D285" s="268"/>
      <c r="E285" s="261"/>
      <c r="F285" s="262"/>
      <c r="G285" s="262"/>
      <c r="H285" s="262"/>
      <c r="I285" s="279"/>
    </row>
    <row r="286" spans="1:9" s="272" customFormat="1" ht="10.5">
      <c r="A286" s="268"/>
      <c r="B286" s="268"/>
      <c r="C286" s="335"/>
      <c r="D286" s="268"/>
      <c r="E286" s="261"/>
      <c r="F286" s="262"/>
      <c r="G286" s="262"/>
      <c r="H286" s="262"/>
      <c r="I286" s="279"/>
    </row>
    <row r="287" spans="1:9" s="272" customFormat="1" ht="10.5">
      <c r="A287" s="268"/>
      <c r="B287" s="268"/>
      <c r="C287" s="335"/>
      <c r="D287" s="268"/>
      <c r="E287" s="261"/>
      <c r="F287" s="262"/>
      <c r="G287" s="262"/>
      <c r="H287" s="262"/>
      <c r="I287" s="279"/>
    </row>
    <row r="288" spans="1:9" s="272" customFormat="1" ht="10.5">
      <c r="A288" s="268"/>
      <c r="B288" s="268"/>
      <c r="C288" s="335"/>
      <c r="D288" s="268"/>
      <c r="E288" s="261"/>
      <c r="F288" s="262"/>
      <c r="G288" s="262"/>
      <c r="H288" s="262"/>
      <c r="I288" s="279"/>
    </row>
    <row r="289" spans="1:9" s="272" customFormat="1" ht="10.5">
      <c r="A289" s="268"/>
      <c r="B289" s="268"/>
      <c r="C289" s="335"/>
      <c r="D289" s="268"/>
      <c r="E289" s="261"/>
      <c r="F289" s="262"/>
      <c r="G289" s="262"/>
      <c r="H289" s="262"/>
      <c r="I289" s="279"/>
    </row>
    <row r="290" spans="1:9" s="272" customFormat="1" ht="10.5">
      <c r="A290" s="268"/>
      <c r="B290" s="268"/>
      <c r="C290" s="335"/>
      <c r="D290" s="268"/>
      <c r="E290" s="261"/>
      <c r="F290" s="262"/>
      <c r="G290" s="262"/>
      <c r="H290" s="262"/>
      <c r="I290" s="279"/>
    </row>
    <row r="291" spans="1:9" s="272" customFormat="1" ht="10.5">
      <c r="A291" s="268"/>
      <c r="B291" s="268"/>
      <c r="C291" s="335"/>
      <c r="D291" s="268"/>
      <c r="E291" s="261"/>
      <c r="F291" s="262"/>
      <c r="G291" s="262"/>
      <c r="H291" s="262"/>
      <c r="I291" s="279"/>
    </row>
    <row r="292" spans="1:9" s="272" customFormat="1" ht="10.5">
      <c r="A292" s="268"/>
      <c r="B292" s="268"/>
      <c r="C292" s="335"/>
      <c r="D292" s="268"/>
      <c r="E292" s="261"/>
      <c r="F292" s="262"/>
      <c r="G292" s="262"/>
      <c r="H292" s="262"/>
      <c r="I292" s="279"/>
    </row>
    <row r="293" spans="1:9" s="272" customFormat="1" ht="10.5">
      <c r="A293" s="268"/>
      <c r="B293" s="268"/>
      <c r="C293" s="335"/>
      <c r="D293" s="268"/>
      <c r="E293" s="261"/>
      <c r="F293" s="262"/>
      <c r="G293" s="262"/>
      <c r="H293" s="262"/>
      <c r="I293" s="279"/>
    </row>
    <row r="294" spans="1:9" s="272" customFormat="1" ht="10.5">
      <c r="A294" s="268"/>
      <c r="B294" s="268"/>
      <c r="C294" s="335"/>
      <c r="D294" s="268"/>
      <c r="E294" s="261"/>
      <c r="F294" s="262"/>
      <c r="G294" s="262"/>
      <c r="H294" s="262"/>
      <c r="I294" s="279"/>
    </row>
    <row r="295" spans="1:9" s="272" customFormat="1" ht="10.5">
      <c r="A295" s="268"/>
      <c r="B295" s="268"/>
      <c r="C295" s="335"/>
      <c r="D295" s="268"/>
      <c r="E295" s="261"/>
      <c r="F295" s="262"/>
      <c r="G295" s="262"/>
      <c r="H295" s="262"/>
      <c r="I295" s="279"/>
    </row>
    <row r="296" spans="1:9" s="272" customFormat="1" ht="10.5">
      <c r="A296" s="268"/>
      <c r="B296" s="268"/>
      <c r="C296" s="335"/>
      <c r="D296" s="268"/>
      <c r="E296" s="261"/>
      <c r="F296" s="262"/>
      <c r="G296" s="262"/>
      <c r="H296" s="262"/>
      <c r="I296" s="279"/>
    </row>
    <row r="297" spans="1:9" s="272" customFormat="1" ht="10.5">
      <c r="A297" s="268"/>
      <c r="B297" s="268"/>
      <c r="C297" s="335"/>
      <c r="D297" s="268"/>
      <c r="E297" s="261"/>
      <c r="F297" s="262"/>
      <c r="G297" s="262"/>
      <c r="H297" s="262"/>
      <c r="I297" s="279"/>
    </row>
    <row r="298" spans="1:9" s="272" customFormat="1" ht="10.5">
      <c r="A298" s="268"/>
      <c r="B298" s="268"/>
      <c r="C298" s="335"/>
      <c r="D298" s="268"/>
      <c r="E298" s="261"/>
      <c r="F298" s="262"/>
      <c r="G298" s="262"/>
      <c r="H298" s="262"/>
      <c r="I298" s="279"/>
    </row>
    <row r="299" spans="1:9" s="272" customFormat="1" ht="10.5">
      <c r="A299" s="268"/>
      <c r="B299" s="268"/>
      <c r="C299" s="335"/>
      <c r="D299" s="268"/>
      <c r="E299" s="261"/>
      <c r="F299" s="262"/>
      <c r="G299" s="262"/>
      <c r="H299" s="262"/>
      <c r="I299" s="279"/>
    </row>
    <row r="300" spans="1:9" s="272" customFormat="1" ht="10.5">
      <c r="A300" s="268"/>
      <c r="B300" s="268"/>
      <c r="C300" s="335"/>
      <c r="D300" s="268"/>
      <c r="E300" s="261"/>
      <c r="F300" s="262"/>
      <c r="G300" s="262"/>
      <c r="H300" s="262"/>
      <c r="I300" s="279"/>
    </row>
    <row r="301" spans="1:9" s="272" customFormat="1" ht="10.5">
      <c r="A301" s="268"/>
      <c r="B301" s="268"/>
      <c r="C301" s="335"/>
      <c r="D301" s="268"/>
      <c r="E301" s="261"/>
      <c r="F301" s="262"/>
      <c r="G301" s="262"/>
      <c r="H301" s="262"/>
      <c r="I301" s="279"/>
    </row>
    <row r="302" spans="1:9" s="272" customFormat="1" ht="10.5">
      <c r="A302" s="268"/>
      <c r="B302" s="268"/>
      <c r="C302" s="335"/>
      <c r="D302" s="268"/>
      <c r="E302" s="261"/>
      <c r="F302" s="262"/>
      <c r="G302" s="262"/>
      <c r="H302" s="262"/>
      <c r="I302" s="279"/>
    </row>
    <row r="303" spans="1:9" s="272" customFormat="1" ht="10.5">
      <c r="A303" s="268"/>
      <c r="B303" s="268"/>
      <c r="C303" s="335"/>
      <c r="D303" s="268"/>
      <c r="E303" s="261"/>
      <c r="F303" s="262"/>
      <c r="G303" s="262"/>
      <c r="H303" s="262"/>
      <c r="I303" s="279"/>
    </row>
    <row r="304" spans="1:9" s="272" customFormat="1" ht="10.5">
      <c r="A304" s="268"/>
      <c r="B304" s="268"/>
      <c r="C304" s="335"/>
      <c r="D304" s="268"/>
      <c r="E304" s="261"/>
      <c r="F304" s="262"/>
      <c r="G304" s="262"/>
      <c r="H304" s="262"/>
      <c r="I304" s="279"/>
    </row>
    <row r="305" spans="1:9" s="272" customFormat="1" ht="10.5">
      <c r="A305" s="268"/>
      <c r="B305" s="268"/>
      <c r="C305" s="335"/>
      <c r="D305" s="268"/>
      <c r="E305" s="261"/>
      <c r="F305" s="262"/>
      <c r="G305" s="262"/>
      <c r="H305" s="262"/>
      <c r="I305" s="279"/>
    </row>
    <row r="306" spans="1:9" s="272" customFormat="1" ht="10.5">
      <c r="A306" s="268"/>
      <c r="B306" s="268"/>
      <c r="C306" s="335"/>
      <c r="D306" s="268"/>
      <c r="E306" s="261"/>
      <c r="F306" s="262"/>
      <c r="G306" s="262"/>
      <c r="H306" s="262"/>
      <c r="I306" s="279"/>
    </row>
    <row r="307" spans="1:9" s="272" customFormat="1" ht="10.5">
      <c r="A307" s="268"/>
      <c r="B307" s="268"/>
      <c r="C307" s="335"/>
      <c r="D307" s="268"/>
      <c r="E307" s="261"/>
      <c r="F307" s="262"/>
      <c r="G307" s="262"/>
      <c r="H307" s="262"/>
      <c r="I307" s="279"/>
    </row>
    <row r="308" spans="1:9" s="272" customFormat="1" ht="10.5">
      <c r="A308" s="268"/>
      <c r="B308" s="268"/>
      <c r="C308" s="335"/>
      <c r="D308" s="268"/>
      <c r="E308" s="261"/>
      <c r="F308" s="262"/>
      <c r="G308" s="262"/>
      <c r="H308" s="262"/>
      <c r="I308" s="279"/>
    </row>
  </sheetData>
  <sheetProtection password="9234" sheet="1" objects="1" scenarios="1"/>
  <mergeCells count="2">
    <mergeCell ref="B4:I4"/>
    <mergeCell ref="B1:F1"/>
  </mergeCells>
  <printOptions/>
  <pageMargins left="0.7500000000000001" right="0.7500000000000001" top="1.2600000000000002" bottom="1" header="0.5" footer="0.5"/>
  <pageSetup fitToHeight="0" fitToWidth="1" orientation="portrait" paperSize="9" scale="75"/>
  <headerFooter alignWithMargins="0">
    <oddHeader>&amp;C&amp;"Calibri,Bold"&amp;K000000PREDRAČUN: ENERGETSKA SANACIJA DOM NA VIDMU&amp;"Calibri,Regular"
</oddHeader>
    <oddFooter>&amp;LProjektantski predračun&amp;R&amp;P/&amp;N</oddFooter>
  </headerFooter>
  <ignoredErrors>
    <ignoredError sqref="B6:B15 B35:B41 B79:B217 B45:B57 B65:B70 B72:B74 B76 B2:B3 B18:B23 B25:B31 B59:B61 B63 B218:B221 B222:B65515 A36 H31:H35 H36:H99 G219:I219 G100:I218 G36:G99 I36:I99" emptyCellReference="1"/>
    <ignoredError sqref="B58" emptyCellReference="1"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G12"/>
  <sheetViews>
    <sheetView showGridLines="0" workbookViewId="0" topLeftCell="A1">
      <selection activeCell="D27" sqref="D27"/>
    </sheetView>
  </sheetViews>
  <sheetFormatPr defaultColWidth="9.140625" defaultRowHeight="15"/>
  <cols>
    <col min="1" max="1" width="5.7109375" style="2" customWidth="1"/>
    <col min="2" max="2" width="36.140625" style="3" customWidth="1"/>
    <col min="3" max="3" width="6.421875" style="3" customWidth="1"/>
    <col min="4" max="4" width="28.140625" style="4" customWidth="1"/>
    <col min="5" max="5" width="9.140625" style="3" customWidth="1"/>
    <col min="6" max="6" width="26.8515625" style="3" customWidth="1"/>
    <col min="7" max="16384" width="9.140625" style="3" customWidth="1"/>
  </cols>
  <sheetData>
    <row r="1" spans="1:4" ht="15.75" customHeight="1">
      <c r="A1" s="402"/>
      <c r="B1" s="660" t="s">
        <v>398</v>
      </c>
      <c r="C1" s="661"/>
      <c r="D1" s="662"/>
    </row>
    <row r="2" spans="1:4" ht="13.5">
      <c r="A2" s="403"/>
      <c r="B2" s="663" t="s">
        <v>399</v>
      </c>
      <c r="C2" s="664"/>
      <c r="D2" s="665"/>
    </row>
    <row r="3" spans="1:4" ht="13.5">
      <c r="A3" s="377"/>
      <c r="B3" s="378"/>
      <c r="C3" s="378"/>
      <c r="D3" s="379"/>
    </row>
    <row r="4" spans="1:4" ht="19.5" customHeight="1">
      <c r="A4" s="115" t="s">
        <v>229</v>
      </c>
      <c r="B4" s="113" t="s">
        <v>230</v>
      </c>
      <c r="C4" s="113"/>
      <c r="D4" s="114">
        <f>+'UPRAVIČENI STROŠKI GOI'!D13</f>
        <v>0</v>
      </c>
    </row>
    <row r="5" spans="1:4" ht="13.5">
      <c r="A5" s="115"/>
      <c r="B5" s="113"/>
      <c r="C5" s="113"/>
      <c r="D5" s="114"/>
    </row>
    <row r="6" spans="1:4" ht="16.5" customHeight="1">
      <c r="A6" s="115" t="s">
        <v>232</v>
      </c>
      <c r="B6" s="113" t="s">
        <v>231</v>
      </c>
      <c r="C6" s="113"/>
      <c r="D6" s="114">
        <f>+'NEUPRAVIČENI STROŠKI GOI'!F71</f>
        <v>0</v>
      </c>
    </row>
    <row r="7" spans="1:4" ht="13.5">
      <c r="A7" s="115"/>
      <c r="B7" s="113"/>
      <c r="C7" s="113"/>
      <c r="D7" s="114"/>
    </row>
    <row r="8" spans="1:4" ht="15" thickBot="1">
      <c r="A8" s="388"/>
      <c r="B8" s="392" t="s">
        <v>19</v>
      </c>
      <c r="C8" s="392"/>
      <c r="D8" s="398">
        <f>SUM(D4:D6)</f>
        <v>0</v>
      </c>
    </row>
    <row r="9" spans="1:4" ht="15" thickTop="1">
      <c r="A9" s="399"/>
      <c r="B9" s="397"/>
      <c r="C9" s="397"/>
      <c r="D9" s="81"/>
    </row>
    <row r="10" spans="1:4" ht="13.5">
      <c r="A10" s="115"/>
      <c r="B10" s="115" t="s">
        <v>235</v>
      </c>
      <c r="C10" s="122">
        <v>0.2</v>
      </c>
      <c r="D10" s="114">
        <f>+D8*C10</f>
        <v>0</v>
      </c>
    </row>
    <row r="11" spans="1:7" s="7" customFormat="1" ht="13.5">
      <c r="A11" s="395"/>
      <c r="B11" s="374"/>
      <c r="C11" s="115"/>
      <c r="D11" s="396"/>
      <c r="E11" s="3"/>
      <c r="F11" s="3"/>
      <c r="G11" s="6"/>
    </row>
    <row r="12" spans="1:7" s="9" customFormat="1" ht="17.25" customHeight="1" thickBot="1">
      <c r="A12" s="400"/>
      <c r="B12" s="393" t="s">
        <v>236</v>
      </c>
      <c r="C12" s="394"/>
      <c r="D12" s="401">
        <f>SUM(D8:D10)</f>
        <v>0</v>
      </c>
      <c r="E12" s="3"/>
      <c r="F12" s="3"/>
      <c r="G12" s="8"/>
    </row>
  </sheetData>
  <sheetProtection password="9234" sheet="1" objects="1" scenarios="1"/>
  <mergeCells count="2">
    <mergeCell ref="B1:D1"/>
    <mergeCell ref="B2:D2"/>
  </mergeCells>
  <printOptions/>
  <pageMargins left="0.7500000000000001" right="0.7500000000000001" top="1.2600000000000002" bottom="1" header="0.5" footer="0.5"/>
  <pageSetup fitToHeight="0" fitToWidth="1" orientation="portrait" paperSize="9"/>
  <headerFooter alignWithMargins="0">
    <oddHeader>&amp;C&amp;"Calibri,Bold"&amp;K000000PREDRAČUN: ENERGETSKA SANACIJA DOM NA VIDMU&amp;"Calibri,Regular"
</oddHeader>
    <oddFooter>&amp;LProjektantski predračun&amp;R&amp;P/&amp;N</oddFooter>
  </headerFooter>
  <ignoredErrors>
    <ignoredError sqref="D8 D12"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F13"/>
  <sheetViews>
    <sheetView showGridLines="0" workbookViewId="0" topLeftCell="A1">
      <selection activeCell="D27" sqref="D27"/>
    </sheetView>
  </sheetViews>
  <sheetFormatPr defaultColWidth="9.140625" defaultRowHeight="15"/>
  <cols>
    <col min="1" max="1" width="9.140625" style="2" customWidth="1"/>
    <col min="2" max="2" width="36.140625" style="3" customWidth="1"/>
    <col min="3" max="3" width="6.421875" style="3" customWidth="1"/>
    <col min="4" max="4" width="28.140625" style="4" customWidth="1"/>
    <col min="5" max="5" width="9.140625" style="3" customWidth="1"/>
    <col min="6" max="6" width="26.8515625" style="3" customWidth="1"/>
    <col min="7" max="7" width="20.140625" style="3" customWidth="1"/>
    <col min="8" max="8" width="19.00390625" style="3" customWidth="1"/>
    <col min="9" max="16384" width="9.140625" style="3" customWidth="1"/>
  </cols>
  <sheetData>
    <row r="1" spans="1:4" ht="15.75">
      <c r="A1" s="380"/>
      <c r="B1" s="413" t="s">
        <v>228</v>
      </c>
      <c r="C1" s="381"/>
      <c r="D1" s="414"/>
    </row>
    <row r="2" spans="1:4" ht="13.5">
      <c r="A2" s="115"/>
      <c r="B2" s="113"/>
      <c r="C2" s="113"/>
      <c r="D2" s="114"/>
    </row>
    <row r="3" spans="1:4" ht="19.5" customHeight="1">
      <c r="A3" s="115" t="s">
        <v>12</v>
      </c>
      <c r="B3" s="113" t="str">
        <f>'PRIPRAVLJALNA DELA'!B1:F1</f>
        <v>PRIPRAVLJALNA in ZAKLJUČNA DELA</v>
      </c>
      <c r="C3" s="113"/>
      <c r="D3" s="114">
        <f>+'PRIPRAVLJALNA DELA'!F7</f>
        <v>0</v>
      </c>
    </row>
    <row r="4" spans="1:4" ht="13.5">
      <c r="A4" s="115"/>
      <c r="B4" s="113"/>
      <c r="C4" s="113"/>
      <c r="D4" s="114"/>
    </row>
    <row r="5" spans="1:4" ht="16.5" customHeight="1">
      <c r="A5" s="115" t="s">
        <v>13</v>
      </c>
      <c r="B5" s="113" t="str">
        <f>FASADA!B1</f>
        <v>FASADA</v>
      </c>
      <c r="C5" s="113"/>
      <c r="D5" s="114">
        <f>+FASADA!F122</f>
        <v>0</v>
      </c>
    </row>
    <row r="6" spans="1:6" ht="13.5">
      <c r="A6" s="115"/>
      <c r="B6" s="113"/>
      <c r="C6" s="113"/>
      <c r="D6" s="114"/>
      <c r="F6" s="5"/>
    </row>
    <row r="7" spans="1:6" ht="18.75" customHeight="1">
      <c r="A7" s="115" t="s">
        <v>9</v>
      </c>
      <c r="B7" s="408" t="str">
        <f>'STAVBNO POHIŠTVO'!B1:F1</f>
        <v>STAVBNO POHIŠTVO</v>
      </c>
      <c r="C7" s="113"/>
      <c r="D7" s="114">
        <f>+'STAVBNO POHIŠTVO'!F92</f>
        <v>0</v>
      </c>
      <c r="E7" s="1"/>
      <c r="F7" s="5"/>
    </row>
    <row r="8" spans="1:6" s="404" customFormat="1" ht="13.5" customHeight="1">
      <c r="A8" s="409"/>
      <c r="B8" s="409"/>
      <c r="C8" s="410"/>
      <c r="D8" s="411"/>
      <c r="F8" s="405"/>
    </row>
    <row r="9" spans="1:4" s="406" customFormat="1" ht="13.5">
      <c r="A9" s="409" t="s">
        <v>17</v>
      </c>
      <c r="B9" s="410" t="str">
        <f>STREHA!B1</f>
        <v>STREHA</v>
      </c>
      <c r="C9" s="412"/>
      <c r="D9" s="411">
        <f>+STREHA!F79</f>
        <v>0</v>
      </c>
    </row>
    <row r="10" spans="1:4" s="404" customFormat="1" ht="13.5">
      <c r="A10" s="409"/>
      <c r="B10" s="410"/>
      <c r="C10" s="410"/>
      <c r="D10" s="411"/>
    </row>
    <row r="11" spans="1:5" s="404" customFormat="1" ht="13.5">
      <c r="A11" s="409" t="s">
        <v>20</v>
      </c>
      <c r="B11" s="410" t="str">
        <f>'ZUNANJA UREDITEV - PRESTAVITEV '!B1:F1</f>
        <v>ZUNANJA UREDITEV</v>
      </c>
      <c r="C11" s="410"/>
      <c r="D11" s="411">
        <f>+'ZUNANJA UREDITEV - PRESTAVITEV '!F69</f>
        <v>0</v>
      </c>
      <c r="E11" s="407"/>
    </row>
    <row r="12" spans="1:4" s="404" customFormat="1" ht="13.5">
      <c r="A12" s="409"/>
      <c r="B12" s="410"/>
      <c r="C12" s="410"/>
      <c r="D12" s="411"/>
    </row>
    <row r="13" spans="1:4" ht="15" thickBot="1">
      <c r="A13" s="415"/>
      <c r="B13" s="392" t="s">
        <v>19</v>
      </c>
      <c r="C13" s="392"/>
      <c r="D13" s="398">
        <f>SUM(D3:D12)</f>
        <v>0</v>
      </c>
    </row>
    <row r="14" ht="15" thickTop="1"/>
  </sheetData>
  <sheetProtection password="9234" sheet="1" objects="1" scenarios="1"/>
  <printOptions/>
  <pageMargins left="0.7500000000000001" right="0.7500000000000001" top="1.2600000000000002" bottom="1" header="0.5" footer="0.5"/>
  <pageSetup fitToHeight="0" fitToWidth="1" orientation="portrait" paperSize="9"/>
  <headerFooter alignWithMargins="0">
    <oddHeader>&amp;C&amp;"Calibri,Bold"&amp;K000000PREDRAČUN: ENERGETSKA SANACIJA DOM NA VIDMU&amp;"Calibri,Regular"
</oddHeader>
    <oddFooter>&amp;LProjektantski predračun&amp;R&amp;P/&amp;N</oddFooter>
  </headerFooter>
  <ignoredErrors>
    <ignoredError sqref="D13" emptyCellReference="1"/>
    <ignoredError sqref="A3 A5:A11 C3:IV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Q103"/>
  <sheetViews>
    <sheetView showGridLines="0" workbookViewId="0" topLeftCell="A1">
      <selection activeCell="E5" sqref="E5"/>
    </sheetView>
  </sheetViews>
  <sheetFormatPr defaultColWidth="9.140625" defaultRowHeight="15"/>
  <cols>
    <col min="1" max="1" width="4.8515625" style="19" customWidth="1"/>
    <col min="2" max="2" width="38.421875" style="10" customWidth="1"/>
    <col min="3" max="3" width="6.8515625" style="11" customWidth="1"/>
    <col min="4" max="4" width="9.00390625" style="12" customWidth="1"/>
    <col min="5" max="5" width="11.421875" style="14" customWidth="1"/>
    <col min="6" max="6" width="13.7109375" style="13" customWidth="1"/>
    <col min="7" max="16384" width="9.140625" style="10" customWidth="1"/>
  </cols>
  <sheetData>
    <row r="1" spans="1:9" s="16" customFormat="1" ht="13.5">
      <c r="A1" s="437" t="s">
        <v>12</v>
      </c>
      <c r="B1" s="667" t="s">
        <v>60</v>
      </c>
      <c r="C1" s="668"/>
      <c r="D1" s="668"/>
      <c r="E1" s="668"/>
      <c r="F1" s="669"/>
      <c r="G1" s="18"/>
      <c r="H1" s="61"/>
      <c r="I1" s="18"/>
    </row>
    <row r="2" spans="1:6" s="238" customFormat="1" ht="13.5">
      <c r="A2" s="430"/>
      <c r="B2" s="431"/>
      <c r="C2" s="431"/>
      <c r="D2" s="432"/>
      <c r="E2" s="431"/>
      <c r="F2" s="433"/>
    </row>
    <row r="3" spans="1:17" s="16" customFormat="1" ht="13.5">
      <c r="A3" s="240" t="s">
        <v>0</v>
      </c>
      <c r="B3" s="425" t="s">
        <v>1</v>
      </c>
      <c r="C3" s="240" t="s">
        <v>266</v>
      </c>
      <c r="D3" s="426" t="s">
        <v>2</v>
      </c>
      <c r="E3" s="241" t="s">
        <v>3</v>
      </c>
      <c r="F3" s="241" t="s">
        <v>267</v>
      </c>
      <c r="G3" s="242"/>
      <c r="H3" s="242"/>
      <c r="I3" s="242"/>
      <c r="J3" s="242"/>
      <c r="K3" s="242"/>
      <c r="L3" s="242"/>
      <c r="M3" s="242"/>
      <c r="N3" s="242"/>
      <c r="O3" s="242"/>
      <c r="P3" s="242"/>
      <c r="Q3" s="242"/>
    </row>
    <row r="4" spans="1:6" ht="12.75">
      <c r="A4" s="83"/>
      <c r="B4" s="427"/>
      <c r="C4" s="85"/>
      <c r="D4" s="185"/>
      <c r="E4" s="428"/>
      <c r="F4" s="429"/>
    </row>
    <row r="5" spans="1:6" ht="103.5">
      <c r="A5" s="83">
        <v>1</v>
      </c>
      <c r="B5" s="84" t="s">
        <v>243</v>
      </c>
      <c r="C5" s="85" t="s">
        <v>7</v>
      </c>
      <c r="D5" s="86">
        <v>1</v>
      </c>
      <c r="E5" s="214"/>
      <c r="F5" s="88">
        <f>+E5*D5</f>
        <v>0</v>
      </c>
    </row>
    <row r="6" spans="1:6" ht="12.75">
      <c r="A6" s="434"/>
      <c r="B6" s="435"/>
      <c r="D6" s="31"/>
      <c r="E6" s="62"/>
      <c r="F6" s="436"/>
    </row>
    <row r="7" spans="1:6" ht="12.75">
      <c r="A7" s="437"/>
      <c r="B7" s="666" t="s">
        <v>400</v>
      </c>
      <c r="C7" s="666"/>
      <c r="D7" s="666"/>
      <c r="E7" s="438"/>
      <c r="F7" s="439">
        <f>SUM(F5:F6)</f>
        <v>0</v>
      </c>
    </row>
    <row r="8" spans="1:6" ht="12.75">
      <c r="A8" s="416"/>
      <c r="B8" s="417"/>
      <c r="C8" s="418"/>
      <c r="D8" s="419"/>
      <c r="E8" s="420"/>
      <c r="F8" s="421"/>
    </row>
    <row r="9" spans="1:6" ht="12.75">
      <c r="A9" s="416"/>
      <c r="B9" s="417"/>
      <c r="C9" s="418"/>
      <c r="D9" s="419"/>
      <c r="E9" s="420"/>
      <c r="F9" s="421"/>
    </row>
    <row r="10" spans="1:6" ht="12.75">
      <c r="A10" s="416"/>
      <c r="B10" s="417"/>
      <c r="C10" s="418"/>
      <c r="D10" s="419"/>
      <c r="E10" s="420"/>
      <c r="F10" s="421"/>
    </row>
    <row r="11" spans="1:6" ht="12.75">
      <c r="A11" s="416"/>
      <c r="B11" s="417"/>
      <c r="C11" s="418"/>
      <c r="D11" s="419"/>
      <c r="E11" s="420"/>
      <c r="F11" s="421"/>
    </row>
    <row r="12" spans="1:6" ht="12.75">
      <c r="A12" s="416"/>
      <c r="B12" s="417"/>
      <c r="C12" s="418"/>
      <c r="D12" s="422"/>
      <c r="E12" s="423"/>
      <c r="F12" s="424"/>
    </row>
    <row r="13" spans="1:6" ht="18">
      <c r="A13" s="63"/>
      <c r="B13" s="375"/>
      <c r="D13" s="65"/>
      <c r="E13" s="66"/>
      <c r="F13" s="67"/>
    </row>
    <row r="14" spans="1:6" ht="15.75">
      <c r="A14" s="63"/>
      <c r="B14" s="376"/>
      <c r="D14" s="65"/>
      <c r="E14" s="66"/>
      <c r="F14" s="67"/>
    </row>
    <row r="15" spans="1:6" ht="12.75">
      <c r="A15" s="63"/>
      <c r="B15" s="64"/>
      <c r="D15" s="65"/>
      <c r="E15" s="66"/>
      <c r="F15" s="67"/>
    </row>
    <row r="16" spans="1:6" ht="12.75">
      <c r="A16" s="63"/>
      <c r="B16" s="64"/>
      <c r="D16" s="65"/>
      <c r="E16" s="66"/>
      <c r="F16" s="67"/>
    </row>
    <row r="17" spans="1:6" ht="12.75">
      <c r="A17" s="63"/>
      <c r="B17" s="64"/>
      <c r="D17" s="65"/>
      <c r="E17" s="66"/>
      <c r="F17" s="67"/>
    </row>
    <row r="18" spans="1:6" ht="12.75">
      <c r="A18" s="63"/>
      <c r="B18" s="64"/>
      <c r="D18" s="65"/>
      <c r="E18" s="66"/>
      <c r="F18" s="67"/>
    </row>
    <row r="19" spans="1:6" ht="12.75">
      <c r="A19" s="63"/>
      <c r="B19" s="64"/>
      <c r="D19" s="65"/>
      <c r="E19" s="66"/>
      <c r="F19" s="67"/>
    </row>
    <row r="20" spans="1:6" ht="12.75">
      <c r="A20" s="63"/>
      <c r="B20" s="64"/>
      <c r="D20" s="65"/>
      <c r="E20" s="66"/>
      <c r="F20" s="67"/>
    </row>
    <row r="21" spans="1:6" ht="12.75">
      <c r="A21" s="63"/>
      <c r="B21" s="64"/>
      <c r="D21" s="65"/>
      <c r="E21" s="66"/>
      <c r="F21" s="67"/>
    </row>
    <row r="22" spans="1:6" ht="12.75">
      <c r="A22" s="63"/>
      <c r="B22" s="64"/>
      <c r="D22" s="65"/>
      <c r="E22" s="66"/>
      <c r="F22" s="67"/>
    </row>
    <row r="23" spans="1:6" ht="12.75">
      <c r="A23" s="63"/>
      <c r="B23" s="64"/>
      <c r="D23" s="65"/>
      <c r="E23" s="66"/>
      <c r="F23" s="67"/>
    </row>
    <row r="24" spans="1:6" ht="12.75">
      <c r="A24" s="63"/>
      <c r="B24" s="64"/>
      <c r="D24" s="65"/>
      <c r="E24" s="66"/>
      <c r="F24" s="67"/>
    </row>
    <row r="25" spans="1:6" ht="12.75">
      <c r="A25" s="63"/>
      <c r="B25" s="64"/>
      <c r="D25" s="65"/>
      <c r="E25" s="66"/>
      <c r="F25" s="67"/>
    </row>
    <row r="26" spans="1:6" ht="12.75">
      <c r="A26" s="63"/>
      <c r="B26" s="64"/>
      <c r="D26" s="65"/>
      <c r="E26" s="66"/>
      <c r="F26" s="67"/>
    </row>
    <row r="27" spans="1:6" ht="12.75">
      <c r="A27" s="63"/>
      <c r="B27" s="64"/>
      <c r="D27" s="65"/>
      <c r="E27" s="66"/>
      <c r="F27" s="67"/>
    </row>
    <row r="28" spans="1:6" ht="12.75">
      <c r="A28" s="63"/>
      <c r="B28" s="64"/>
      <c r="D28" s="65"/>
      <c r="E28" s="66"/>
      <c r="F28" s="67"/>
    </row>
    <row r="29" spans="1:6" ht="12.75">
      <c r="A29" s="63"/>
      <c r="B29" s="64"/>
      <c r="D29" s="65"/>
      <c r="E29" s="66"/>
      <c r="F29" s="67"/>
    </row>
    <row r="30" spans="1:6" ht="12.75">
      <c r="A30" s="63"/>
      <c r="B30" s="64"/>
      <c r="D30" s="65"/>
      <c r="E30" s="66"/>
      <c r="F30" s="67"/>
    </row>
    <row r="31" spans="1:6" ht="12.75">
      <c r="A31" s="63"/>
      <c r="B31" s="64"/>
      <c r="D31" s="65"/>
      <c r="E31" s="66"/>
      <c r="F31" s="67"/>
    </row>
    <row r="32" spans="1:6" ht="12.75">
      <c r="A32" s="63"/>
      <c r="B32" s="64"/>
      <c r="D32" s="65"/>
      <c r="E32" s="66"/>
      <c r="F32" s="67"/>
    </row>
    <row r="33" spans="1:6" ht="12.75">
      <c r="A33" s="63"/>
      <c r="B33" s="64"/>
      <c r="D33" s="65"/>
      <c r="E33" s="66"/>
      <c r="F33" s="67"/>
    </row>
    <row r="34" spans="1:6" ht="12.75">
      <c r="A34" s="63"/>
      <c r="B34" s="64"/>
      <c r="D34" s="65"/>
      <c r="E34" s="66"/>
      <c r="F34" s="67"/>
    </row>
    <row r="35" spans="1:6" ht="12.75">
      <c r="A35" s="63"/>
      <c r="B35" s="64"/>
      <c r="D35" s="65"/>
      <c r="E35" s="66"/>
      <c r="F35" s="67"/>
    </row>
    <row r="36" spans="1:6" ht="12.75">
      <c r="A36" s="63"/>
      <c r="B36" s="64"/>
      <c r="D36" s="65"/>
      <c r="E36" s="66"/>
      <c r="F36" s="67"/>
    </row>
    <row r="37" spans="1:6" ht="12.75">
      <c r="A37" s="63"/>
      <c r="B37" s="64"/>
      <c r="D37" s="65"/>
      <c r="E37" s="66"/>
      <c r="F37" s="67"/>
    </row>
    <row r="38" spans="1:6" ht="12.75">
      <c r="A38" s="63"/>
      <c r="B38" s="64"/>
      <c r="D38" s="65"/>
      <c r="E38" s="66"/>
      <c r="F38" s="67"/>
    </row>
    <row r="39" spans="1:6" ht="12.75">
      <c r="A39" s="63"/>
      <c r="B39" s="64"/>
      <c r="D39" s="65"/>
      <c r="E39" s="66"/>
      <c r="F39" s="67"/>
    </row>
    <row r="40" spans="1:6" ht="12.75">
      <c r="A40" s="63"/>
      <c r="B40" s="64"/>
      <c r="D40" s="65"/>
      <c r="E40" s="66"/>
      <c r="F40" s="67"/>
    </row>
    <row r="41" spans="1:6" ht="12.75">
      <c r="A41" s="63"/>
      <c r="B41" s="64"/>
      <c r="D41" s="65"/>
      <c r="E41" s="66"/>
      <c r="F41" s="67"/>
    </row>
    <row r="42" spans="1:6" ht="12.75">
      <c r="A42" s="63"/>
      <c r="B42" s="64"/>
      <c r="D42" s="65"/>
      <c r="E42" s="66"/>
      <c r="F42" s="67"/>
    </row>
    <row r="43" spans="1:6" ht="12.75">
      <c r="A43" s="63"/>
      <c r="B43" s="64"/>
      <c r="D43" s="65"/>
      <c r="E43" s="66"/>
      <c r="F43" s="67"/>
    </row>
    <row r="44" spans="1:6" ht="12.75">
      <c r="A44" s="63"/>
      <c r="B44" s="64"/>
      <c r="D44" s="65"/>
      <c r="E44" s="66"/>
      <c r="F44" s="67"/>
    </row>
    <row r="45" spans="1:6" ht="12.75">
      <c r="A45" s="63"/>
      <c r="B45" s="64"/>
      <c r="D45" s="65"/>
      <c r="E45" s="66"/>
      <c r="F45" s="67"/>
    </row>
    <row r="46" spans="1:6" ht="12.75">
      <c r="A46" s="63"/>
      <c r="B46" s="64"/>
      <c r="D46" s="65"/>
      <c r="E46" s="66"/>
      <c r="F46" s="67"/>
    </row>
    <row r="47" spans="1:6" ht="12.75">
      <c r="A47" s="63"/>
      <c r="B47" s="64"/>
      <c r="D47" s="65"/>
      <c r="E47" s="66"/>
      <c r="F47" s="67"/>
    </row>
    <row r="48" spans="1:6" ht="12.75">
      <c r="A48" s="63"/>
      <c r="B48" s="64"/>
      <c r="D48" s="65"/>
      <c r="E48" s="66"/>
      <c r="F48" s="67"/>
    </row>
    <row r="49" spans="1:6" ht="12.75">
      <c r="A49" s="63"/>
      <c r="B49" s="64"/>
      <c r="D49" s="65"/>
      <c r="E49" s="66"/>
      <c r="F49" s="67"/>
    </row>
    <row r="50" spans="1:6" ht="12.75">
      <c r="A50" s="63"/>
      <c r="B50" s="64"/>
      <c r="D50" s="65"/>
      <c r="E50" s="66"/>
      <c r="F50" s="67"/>
    </row>
    <row r="51" spans="1:6" ht="12.75">
      <c r="A51" s="63"/>
      <c r="B51" s="64"/>
      <c r="D51" s="65"/>
      <c r="E51" s="66"/>
      <c r="F51" s="67"/>
    </row>
    <row r="52" spans="1:6" ht="12.75">
      <c r="A52" s="63"/>
      <c r="B52" s="64"/>
      <c r="D52" s="65"/>
      <c r="E52" s="66"/>
      <c r="F52" s="67"/>
    </row>
    <row r="53" spans="1:6" ht="12.75">
      <c r="A53" s="63"/>
      <c r="B53" s="64"/>
      <c r="D53" s="65"/>
      <c r="E53" s="66"/>
      <c r="F53" s="67"/>
    </row>
    <row r="54" spans="1:6" ht="12.75">
      <c r="A54" s="63"/>
      <c r="B54" s="64"/>
      <c r="D54" s="65"/>
      <c r="E54" s="66"/>
      <c r="F54" s="67"/>
    </row>
    <row r="55" spans="1:6" ht="12.75">
      <c r="A55" s="63"/>
      <c r="B55" s="64"/>
      <c r="D55" s="65"/>
      <c r="E55" s="66"/>
      <c r="F55" s="67"/>
    </row>
    <row r="56" spans="1:6" ht="12.75">
      <c r="A56" s="63"/>
      <c r="B56" s="64"/>
      <c r="D56" s="65"/>
      <c r="E56" s="66"/>
      <c r="F56" s="67"/>
    </row>
    <row r="57" spans="1:6" ht="12.75">
      <c r="A57" s="63"/>
      <c r="B57" s="64"/>
      <c r="D57" s="65"/>
      <c r="E57" s="66"/>
      <c r="F57" s="67"/>
    </row>
    <row r="58" spans="1:6" ht="12.75">
      <c r="A58" s="63"/>
      <c r="B58" s="64"/>
      <c r="D58" s="65"/>
      <c r="E58" s="66"/>
      <c r="F58" s="67"/>
    </row>
    <row r="59" spans="1:6" ht="12.75">
      <c r="A59" s="63"/>
      <c r="B59" s="64"/>
      <c r="D59" s="65"/>
      <c r="E59" s="66"/>
      <c r="F59" s="67"/>
    </row>
    <row r="60" spans="1:6" ht="12.75">
      <c r="A60" s="63"/>
      <c r="B60" s="64"/>
      <c r="D60" s="65"/>
      <c r="E60" s="66"/>
      <c r="F60" s="67"/>
    </row>
    <row r="61" spans="1:6" ht="12.75">
      <c r="A61" s="63"/>
      <c r="B61" s="64"/>
      <c r="D61" s="65"/>
      <c r="E61" s="66"/>
      <c r="F61" s="67"/>
    </row>
    <row r="62" spans="1:6" ht="12.75">
      <c r="A62" s="63"/>
      <c r="B62" s="64"/>
      <c r="D62" s="65"/>
      <c r="E62" s="66"/>
      <c r="F62" s="67"/>
    </row>
    <row r="63" spans="1:6" ht="12.75">
      <c r="A63" s="63"/>
      <c r="B63" s="64"/>
      <c r="D63" s="65"/>
      <c r="E63" s="66"/>
      <c r="F63" s="67"/>
    </row>
    <row r="64" spans="1:6" ht="12.75">
      <c r="A64" s="63"/>
      <c r="B64" s="64"/>
      <c r="D64" s="65"/>
      <c r="E64" s="66"/>
      <c r="F64" s="67"/>
    </row>
    <row r="65" spans="1:6" ht="12.75">
      <c r="A65" s="63"/>
      <c r="B65" s="64"/>
      <c r="D65" s="65"/>
      <c r="E65" s="66"/>
      <c r="F65" s="67"/>
    </row>
    <row r="66" spans="1:6" ht="12.75">
      <c r="A66" s="63"/>
      <c r="B66" s="64"/>
      <c r="D66" s="65"/>
      <c r="E66" s="66"/>
      <c r="F66" s="67"/>
    </row>
    <row r="67" spans="1:6" ht="12.75">
      <c r="A67" s="63"/>
      <c r="B67" s="64"/>
      <c r="D67" s="65"/>
      <c r="E67" s="66"/>
      <c r="F67" s="67"/>
    </row>
    <row r="68" spans="1:6" ht="12.75">
      <c r="A68" s="63"/>
      <c r="B68" s="64"/>
      <c r="D68" s="65"/>
      <c r="E68" s="66"/>
      <c r="F68" s="67"/>
    </row>
    <row r="69" spans="1:6" ht="12.75">
      <c r="A69" s="63"/>
      <c r="B69" s="64"/>
      <c r="D69" s="65"/>
      <c r="E69" s="66"/>
      <c r="F69" s="67"/>
    </row>
    <row r="70" spans="1:6" ht="12.75">
      <c r="A70" s="63"/>
      <c r="B70" s="64"/>
      <c r="D70" s="65"/>
      <c r="E70" s="66"/>
      <c r="F70" s="67"/>
    </row>
    <row r="71" spans="1:6" ht="12.75">
      <c r="A71" s="63"/>
      <c r="B71" s="64"/>
      <c r="D71" s="65"/>
      <c r="E71" s="66"/>
      <c r="F71" s="67"/>
    </row>
    <row r="72" spans="1:6" ht="12.75">
      <c r="A72" s="63"/>
      <c r="B72" s="64"/>
      <c r="D72" s="65"/>
      <c r="E72" s="66"/>
      <c r="F72" s="67"/>
    </row>
    <row r="73" spans="1:6" ht="12.75">
      <c r="A73" s="63"/>
      <c r="B73" s="64"/>
      <c r="D73" s="65"/>
      <c r="E73" s="66"/>
      <c r="F73" s="67"/>
    </row>
    <row r="74" spans="1:6" ht="12.75">
      <c r="A74" s="63"/>
      <c r="B74" s="64"/>
      <c r="D74" s="65"/>
      <c r="E74" s="66"/>
      <c r="F74" s="67"/>
    </row>
    <row r="75" spans="1:6" ht="12.75">
      <c r="A75" s="63"/>
      <c r="B75" s="64"/>
      <c r="D75" s="65"/>
      <c r="E75" s="66"/>
      <c r="F75" s="67"/>
    </row>
    <row r="76" spans="1:6" ht="12.75">
      <c r="A76" s="63"/>
      <c r="B76" s="64"/>
      <c r="D76" s="65"/>
      <c r="E76" s="66"/>
      <c r="F76" s="67"/>
    </row>
    <row r="77" spans="1:6" ht="12.75">
      <c r="A77" s="63"/>
      <c r="B77" s="64"/>
      <c r="D77" s="65"/>
      <c r="E77" s="66"/>
      <c r="F77" s="67"/>
    </row>
    <row r="78" spans="1:6" ht="12.75">
      <c r="A78" s="63"/>
      <c r="B78" s="64"/>
      <c r="D78" s="65"/>
      <c r="E78" s="66"/>
      <c r="F78" s="67"/>
    </row>
    <row r="79" spans="1:6" ht="12.75">
      <c r="A79" s="63"/>
      <c r="B79" s="64"/>
      <c r="D79" s="65"/>
      <c r="E79" s="66"/>
      <c r="F79" s="67"/>
    </row>
    <row r="80" spans="1:6" ht="12.75">
      <c r="A80" s="63"/>
      <c r="B80" s="64"/>
      <c r="D80" s="65"/>
      <c r="E80" s="66"/>
      <c r="F80" s="67"/>
    </row>
    <row r="81" spans="1:6" ht="12.75">
      <c r="A81" s="63"/>
      <c r="B81" s="64"/>
      <c r="D81" s="65"/>
      <c r="E81" s="66"/>
      <c r="F81" s="67"/>
    </row>
    <row r="82" spans="1:6" ht="12.75">
      <c r="A82" s="63"/>
      <c r="B82" s="64"/>
      <c r="D82" s="65"/>
      <c r="E82" s="66"/>
      <c r="F82" s="67"/>
    </row>
    <row r="83" spans="1:6" ht="12.75">
      <c r="A83" s="63"/>
      <c r="B83" s="64"/>
      <c r="D83" s="65"/>
      <c r="E83" s="66"/>
      <c r="F83" s="67"/>
    </row>
    <row r="84" spans="1:6" ht="12.75">
      <c r="A84" s="63"/>
      <c r="B84" s="64"/>
      <c r="D84" s="65"/>
      <c r="E84" s="66"/>
      <c r="F84" s="67"/>
    </row>
    <row r="85" spans="1:6" ht="12.75">
      <c r="A85" s="63"/>
      <c r="B85" s="64"/>
      <c r="D85" s="65"/>
      <c r="E85" s="66"/>
      <c r="F85" s="67"/>
    </row>
    <row r="86" spans="1:6" ht="12.75">
      <c r="A86" s="63"/>
      <c r="B86" s="64"/>
      <c r="D86" s="65"/>
      <c r="E86" s="66"/>
      <c r="F86" s="67"/>
    </row>
    <row r="87" spans="1:6" ht="12.75">
      <c r="A87" s="63"/>
      <c r="B87" s="64"/>
      <c r="D87" s="65"/>
      <c r="E87" s="66"/>
      <c r="F87" s="67"/>
    </row>
    <row r="88" spans="1:6" ht="12.75">
      <c r="A88" s="63"/>
      <c r="B88" s="64"/>
      <c r="D88" s="65"/>
      <c r="E88" s="66"/>
      <c r="F88" s="67"/>
    </row>
    <row r="89" spans="1:6" ht="12.75">
      <c r="A89" s="63"/>
      <c r="B89" s="64"/>
      <c r="D89" s="65"/>
      <c r="E89" s="66"/>
      <c r="F89" s="67"/>
    </row>
    <row r="90" spans="1:6" ht="12.75">
      <c r="A90" s="63"/>
      <c r="B90" s="64"/>
      <c r="D90" s="65"/>
      <c r="E90" s="66"/>
      <c r="F90" s="67"/>
    </row>
    <row r="91" spans="1:6" ht="12.75">
      <c r="A91" s="63"/>
      <c r="B91" s="64"/>
      <c r="D91" s="65"/>
      <c r="E91" s="66"/>
      <c r="F91" s="67"/>
    </row>
    <row r="92" spans="1:6" ht="12.75">
      <c r="A92" s="63"/>
      <c r="B92" s="64"/>
      <c r="D92" s="65"/>
      <c r="E92" s="66"/>
      <c r="F92" s="67"/>
    </row>
    <row r="93" spans="1:6" ht="12.75">
      <c r="A93" s="63"/>
      <c r="B93" s="64"/>
      <c r="D93" s="65"/>
      <c r="E93" s="66"/>
      <c r="F93" s="67"/>
    </row>
    <row r="94" spans="1:6" ht="12.75">
      <c r="A94" s="63"/>
      <c r="B94" s="64"/>
      <c r="D94" s="65"/>
      <c r="E94" s="66"/>
      <c r="F94" s="67"/>
    </row>
    <row r="95" spans="1:6" ht="12.75">
      <c r="A95" s="63"/>
      <c r="B95" s="64"/>
      <c r="D95" s="65"/>
      <c r="E95" s="66"/>
      <c r="F95" s="67"/>
    </row>
    <row r="96" spans="1:6" ht="12.75">
      <c r="A96" s="63"/>
      <c r="B96" s="64"/>
      <c r="D96" s="65"/>
      <c r="E96" s="66"/>
      <c r="F96" s="67"/>
    </row>
    <row r="97" spans="1:6" ht="12.75">
      <c r="A97" s="63"/>
      <c r="B97" s="64"/>
      <c r="D97" s="65"/>
      <c r="E97" s="66"/>
      <c r="F97" s="67"/>
    </row>
    <row r="98" spans="1:6" ht="12.75">
      <c r="A98" s="63"/>
      <c r="B98" s="64"/>
      <c r="D98" s="65"/>
      <c r="E98" s="66"/>
      <c r="F98" s="67"/>
    </row>
    <row r="99" spans="1:6" ht="12.75">
      <c r="A99" s="63"/>
      <c r="B99" s="64"/>
      <c r="D99" s="65"/>
      <c r="E99" s="66"/>
      <c r="F99" s="67"/>
    </row>
    <row r="100" spans="1:6" ht="12.75">
      <c r="A100" s="63"/>
      <c r="B100" s="64"/>
      <c r="D100" s="65"/>
      <c r="E100" s="66"/>
      <c r="F100" s="67"/>
    </row>
    <row r="101" spans="1:6" ht="12.75">
      <c r="A101" s="63"/>
      <c r="B101" s="64"/>
      <c r="D101" s="65"/>
      <c r="E101" s="66"/>
      <c r="F101" s="67"/>
    </row>
    <row r="102" spans="1:6" ht="12.75">
      <c r="A102" s="63"/>
      <c r="B102" s="64"/>
      <c r="D102" s="65"/>
      <c r="E102" s="66"/>
      <c r="F102" s="67"/>
    </row>
    <row r="103" spans="1:6" ht="12.75">
      <c r="A103" s="63"/>
      <c r="B103" s="64"/>
      <c r="D103" s="65"/>
      <c r="E103" s="66"/>
      <c r="F103" s="67"/>
    </row>
  </sheetData>
  <sheetProtection password="9234" sheet="1" objects="1" scenarios="1"/>
  <mergeCells count="3">
    <mergeCell ref="B7:D7"/>
    <mergeCell ref="B1:F1"/>
  </mergeCells>
  <printOptions/>
  <pageMargins left="0.7500000000000001" right="0.7500000000000001" top="1.2600000000000002" bottom="1" header="0.5" footer="0.5"/>
  <pageSetup fitToHeight="0" fitToWidth="1" orientation="portrait" paperSize="9" scale="95"/>
  <headerFooter alignWithMargins="0">
    <oddHeader>&amp;C&amp;"Calibri,Bold"&amp;K000000PREDRAČUN: ENERGETSKA SANACIJA DOM NA VIDMU&amp;"Calibri,Regular"
</oddHeader>
    <oddFooter>&amp;LProjektantski predračun&amp;R&amp;P/&amp;N</oddFooter>
  </headerFooter>
  <ignoredErrors>
    <ignoredError sqref="F7"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J122"/>
  <sheetViews>
    <sheetView showGridLines="0" zoomScale="120" zoomScaleNormal="120" zoomScaleSheetLayoutView="100" workbookViewId="0" topLeftCell="A1">
      <selection activeCell="E5" sqref="E5:E120"/>
    </sheetView>
  </sheetViews>
  <sheetFormatPr defaultColWidth="9.140625" defaultRowHeight="15"/>
  <cols>
    <col min="1" max="1" width="6.28125" style="58" customWidth="1"/>
    <col min="2" max="2" width="40.7109375" style="25" customWidth="1"/>
    <col min="3" max="3" width="9.140625" style="34" customWidth="1"/>
    <col min="4" max="4" width="10.421875" style="56" bestFit="1" customWidth="1"/>
    <col min="5" max="5" width="12.421875" style="59" customWidth="1"/>
    <col min="6" max="6" width="15.140625" style="35" customWidth="1"/>
    <col min="7" max="9" width="9.140625" style="0" customWidth="1"/>
    <col min="10" max="10" width="4.28125" style="35" customWidth="1"/>
    <col min="11" max="36" width="9.140625" style="25" customWidth="1"/>
    <col min="37" max="38" width="9.140625" style="0" customWidth="1"/>
    <col min="39" max="16384" width="9.140625" style="25" customWidth="1"/>
  </cols>
  <sheetData>
    <row r="1" spans="1:10" s="16" customFormat="1" ht="13.5">
      <c r="A1" s="437" t="s">
        <v>13</v>
      </c>
      <c r="B1" s="667" t="s">
        <v>11</v>
      </c>
      <c r="C1" s="668"/>
      <c r="D1" s="668"/>
      <c r="E1" s="668"/>
      <c r="F1" s="669"/>
      <c r="J1" s="18"/>
    </row>
    <row r="2" spans="1:4" s="238" customFormat="1" ht="13.5">
      <c r="A2" s="237"/>
      <c r="D2" s="239"/>
    </row>
    <row r="3" spans="1:6" s="16" customFormat="1" ht="13.5">
      <c r="A3" s="441" t="s">
        <v>0</v>
      </c>
      <c r="B3" s="442" t="s">
        <v>1</v>
      </c>
      <c r="C3" s="441" t="s">
        <v>266</v>
      </c>
      <c r="D3" s="443" t="s">
        <v>2</v>
      </c>
      <c r="E3" s="49" t="s">
        <v>3</v>
      </c>
      <c r="F3" s="49" t="s">
        <v>267</v>
      </c>
    </row>
    <row r="4" spans="1:10" ht="13.5">
      <c r="A4" s="50"/>
      <c r="B4" s="51"/>
      <c r="C4" s="51"/>
      <c r="D4" s="52"/>
      <c r="E4" s="53"/>
      <c r="F4" s="54"/>
      <c r="J4" s="54"/>
    </row>
    <row r="5" spans="1:10" ht="39">
      <c r="A5" s="124">
        <v>1</v>
      </c>
      <c r="B5" s="125" t="s">
        <v>170</v>
      </c>
      <c r="C5" s="126" t="s">
        <v>5</v>
      </c>
      <c r="D5" s="127">
        <f>+D15</f>
        <v>3060.19</v>
      </c>
      <c r="E5" s="215"/>
      <c r="F5" s="128">
        <f>D5*E5</f>
        <v>0</v>
      </c>
      <c r="J5" s="47"/>
    </row>
    <row r="6" spans="1:10" ht="13.5">
      <c r="A6" s="129"/>
      <c r="B6" s="125"/>
      <c r="C6" s="126"/>
      <c r="D6" s="127"/>
      <c r="E6" s="216"/>
      <c r="F6" s="128"/>
      <c r="J6" s="47"/>
    </row>
    <row r="7" spans="1:10" ht="64.5">
      <c r="A7" s="124">
        <v>2</v>
      </c>
      <c r="B7" s="125" t="s">
        <v>6</v>
      </c>
      <c r="C7" s="126" t="s">
        <v>5</v>
      </c>
      <c r="D7" s="127">
        <f>+D5*0.15</f>
        <v>459.0285</v>
      </c>
      <c r="E7" s="215"/>
      <c r="F7" s="128">
        <f>D7*E7</f>
        <v>0</v>
      </c>
      <c r="J7" s="47"/>
    </row>
    <row r="8" spans="1:10" ht="13.5">
      <c r="A8" s="129"/>
      <c r="B8" s="125"/>
      <c r="C8" s="125"/>
      <c r="D8" s="127"/>
      <c r="E8" s="216"/>
      <c r="F8" s="128"/>
      <c r="J8" s="47"/>
    </row>
    <row r="9" spans="1:10" ht="51.75">
      <c r="A9" s="124">
        <v>3</v>
      </c>
      <c r="B9" s="125" t="s">
        <v>55</v>
      </c>
      <c r="C9" s="126" t="s">
        <v>5</v>
      </c>
      <c r="D9" s="127">
        <f>+D7</f>
        <v>459.0285</v>
      </c>
      <c r="E9" s="215"/>
      <c r="F9" s="128">
        <f>D9*E9</f>
        <v>0</v>
      </c>
      <c r="J9" s="47"/>
    </row>
    <row r="10" spans="1:10" s="90" customFormat="1" ht="12.75">
      <c r="A10" s="129"/>
      <c r="B10" s="125"/>
      <c r="C10" s="126"/>
      <c r="D10" s="127"/>
      <c r="E10" s="216"/>
      <c r="F10" s="128"/>
      <c r="J10" s="440"/>
    </row>
    <row r="11" spans="1:10" ht="51.75">
      <c r="A11" s="124">
        <v>4</v>
      </c>
      <c r="B11" s="125" t="s">
        <v>171</v>
      </c>
      <c r="C11" s="126" t="s">
        <v>5</v>
      </c>
      <c r="D11" s="127">
        <f>+D5</f>
        <v>3060.19</v>
      </c>
      <c r="E11" s="215"/>
      <c r="F11" s="128">
        <f>D11*E11</f>
        <v>0</v>
      </c>
      <c r="J11" s="47"/>
    </row>
    <row r="12" spans="1:10" ht="17.25" customHeight="1">
      <c r="A12" s="124"/>
      <c r="B12" s="125"/>
      <c r="C12" s="126"/>
      <c r="D12" s="127"/>
      <c r="E12" s="215"/>
      <c r="F12" s="128"/>
      <c r="J12" s="47"/>
    </row>
    <row r="13" spans="1:10" ht="51.75">
      <c r="A13" s="124">
        <v>5</v>
      </c>
      <c r="B13" s="125" t="s">
        <v>178</v>
      </c>
      <c r="C13" s="126" t="s">
        <v>5</v>
      </c>
      <c r="D13" s="127">
        <v>58.6</v>
      </c>
      <c r="E13" s="215"/>
      <c r="F13" s="128">
        <f>D13*E13</f>
        <v>0</v>
      </c>
      <c r="J13" s="47"/>
    </row>
    <row r="14" spans="1:10" s="90" customFormat="1" ht="12.75">
      <c r="A14" s="129"/>
      <c r="B14" s="125"/>
      <c r="C14" s="126"/>
      <c r="D14" s="127"/>
      <c r="E14" s="215"/>
      <c r="F14" s="128"/>
      <c r="J14" s="440"/>
    </row>
    <row r="15" spans="1:10" ht="195">
      <c r="A15" s="124">
        <v>6</v>
      </c>
      <c r="B15" s="125" t="s">
        <v>168</v>
      </c>
      <c r="C15" s="126" t="s">
        <v>5</v>
      </c>
      <c r="D15" s="127">
        <f>SUM(D16:D36)</f>
        <v>3060.19</v>
      </c>
      <c r="E15" s="215"/>
      <c r="F15" s="128">
        <f>D15*E15</f>
        <v>0</v>
      </c>
      <c r="J15" s="47"/>
    </row>
    <row r="16" spans="1:10" ht="15.75" customHeight="1">
      <c r="A16" s="124"/>
      <c r="B16" s="125" t="s">
        <v>21</v>
      </c>
      <c r="C16" s="130"/>
      <c r="D16" s="127">
        <f>35+12.8</f>
        <v>47.8</v>
      </c>
      <c r="E16" s="215"/>
      <c r="F16" s="128"/>
      <c r="J16" s="47"/>
    </row>
    <row r="17" spans="1:10" ht="15.75" customHeight="1">
      <c r="A17" s="124"/>
      <c r="B17" s="125" t="s">
        <v>22</v>
      </c>
      <c r="C17" s="126"/>
      <c r="D17" s="127">
        <f>18.5+19.2+7.44+15.3+14.4+20</f>
        <v>94.84</v>
      </c>
      <c r="E17" s="215"/>
      <c r="F17" s="128"/>
      <c r="J17" s="47"/>
    </row>
    <row r="18" spans="1:10" ht="15.75" customHeight="1">
      <c r="A18" s="124"/>
      <c r="B18" s="131" t="s">
        <v>25</v>
      </c>
      <c r="C18" s="126"/>
      <c r="D18" s="127">
        <f>143.15+18.2</f>
        <v>161.35</v>
      </c>
      <c r="E18" s="215"/>
      <c r="F18" s="128"/>
      <c r="J18" s="47"/>
    </row>
    <row r="19" spans="1:10" ht="15.75" customHeight="1">
      <c r="A19" s="124"/>
      <c r="B19" s="131" t="s">
        <v>26</v>
      </c>
      <c r="C19" s="126"/>
      <c r="D19" s="127">
        <f>160.88+9.6+13.52+15.2</f>
        <v>199.2</v>
      </c>
      <c r="E19" s="215"/>
      <c r="F19" s="128"/>
      <c r="J19" s="47"/>
    </row>
    <row r="20" spans="1:10" ht="15.75" customHeight="1">
      <c r="A20" s="124"/>
      <c r="B20" s="131" t="s">
        <v>27</v>
      </c>
      <c r="C20" s="126"/>
      <c r="D20" s="127">
        <f>99.25+12.4</f>
        <v>111.65</v>
      </c>
      <c r="E20" s="215"/>
      <c r="F20" s="128"/>
      <c r="J20" s="47"/>
    </row>
    <row r="21" spans="1:10" ht="15.75" customHeight="1">
      <c r="A21" s="124"/>
      <c r="B21" s="131" t="s">
        <v>28</v>
      </c>
      <c r="C21" s="126"/>
      <c r="D21" s="127">
        <f>63.6+21.6</f>
        <v>85.2</v>
      </c>
      <c r="E21" s="215"/>
      <c r="F21" s="128"/>
      <c r="J21" s="47"/>
    </row>
    <row r="22" spans="1:10" ht="15.75" customHeight="1">
      <c r="A22" s="124"/>
      <c r="B22" s="131" t="s">
        <v>30</v>
      </c>
      <c r="C22" s="126"/>
      <c r="D22" s="127">
        <f>36.2+7.9</f>
        <v>44.1</v>
      </c>
      <c r="E22" s="215"/>
      <c r="F22" s="128"/>
      <c r="J22" s="47"/>
    </row>
    <row r="23" spans="1:10" ht="15.75" customHeight="1">
      <c r="A23" s="124"/>
      <c r="B23" s="131" t="s">
        <v>32</v>
      </c>
      <c r="C23" s="126"/>
      <c r="D23" s="127">
        <f>73.7+18.9+15.3+(6*3.75)</f>
        <v>130.39999999999998</v>
      </c>
      <c r="E23" s="215"/>
      <c r="F23" s="128"/>
      <c r="J23" s="47"/>
    </row>
    <row r="24" spans="1:10" ht="15.75" customHeight="1">
      <c r="A24" s="124"/>
      <c r="B24" s="131" t="s">
        <v>44</v>
      </c>
      <c r="C24" s="126"/>
      <c r="D24" s="127">
        <f>79.6+16.8</f>
        <v>96.39999999999999</v>
      </c>
      <c r="E24" s="215"/>
      <c r="F24" s="128"/>
      <c r="J24" s="47"/>
    </row>
    <row r="25" spans="1:10" ht="15.75" customHeight="1">
      <c r="A25" s="124"/>
      <c r="B25" s="132" t="s">
        <v>33</v>
      </c>
      <c r="C25" s="126"/>
      <c r="D25" s="127">
        <f>10+50.7</f>
        <v>60.7</v>
      </c>
      <c r="E25" s="215"/>
      <c r="F25" s="128"/>
      <c r="J25" s="47"/>
    </row>
    <row r="26" spans="1:10" ht="15.75" customHeight="1">
      <c r="A26" s="124"/>
      <c r="B26" s="131" t="s">
        <v>45</v>
      </c>
      <c r="C26" s="126"/>
      <c r="D26" s="127">
        <f>26.12+84.4+5.4</f>
        <v>115.92000000000002</v>
      </c>
      <c r="E26" s="215"/>
      <c r="F26" s="128"/>
      <c r="J26" s="47"/>
    </row>
    <row r="27" spans="1:10" ht="15.75" customHeight="1">
      <c r="A27" s="124"/>
      <c r="B27" s="131" t="s">
        <v>46</v>
      </c>
      <c r="C27" s="126"/>
      <c r="D27" s="127">
        <f>139.5+40.4</f>
        <v>179.9</v>
      </c>
      <c r="E27" s="215"/>
      <c r="F27" s="128"/>
      <c r="J27" s="47"/>
    </row>
    <row r="28" spans="1:10" ht="15.75" customHeight="1">
      <c r="A28" s="124"/>
      <c r="B28" s="131" t="s">
        <v>37</v>
      </c>
      <c r="C28" s="126"/>
      <c r="D28" s="127">
        <f>133.63+16.3</f>
        <v>149.93</v>
      </c>
      <c r="E28" s="215"/>
      <c r="F28" s="128"/>
      <c r="J28" s="47"/>
    </row>
    <row r="29" spans="1:10" ht="15.75" customHeight="1">
      <c r="A29" s="124"/>
      <c r="B29" s="131" t="s">
        <v>47</v>
      </c>
      <c r="C29" s="126"/>
      <c r="D29" s="127">
        <f>13.3+108.6</f>
        <v>121.89999999999999</v>
      </c>
      <c r="E29" s="215"/>
      <c r="F29" s="128"/>
      <c r="J29" s="47"/>
    </row>
    <row r="30" spans="1:10" ht="15.75" customHeight="1">
      <c r="A30" s="124"/>
      <c r="B30" s="131" t="s">
        <v>52</v>
      </c>
      <c r="C30" s="126"/>
      <c r="D30" s="127">
        <f>15.35+165+12.5</f>
        <v>192.85</v>
      </c>
      <c r="E30" s="215"/>
      <c r="F30" s="128"/>
      <c r="J30" s="47"/>
    </row>
    <row r="31" spans="1:10" ht="15.75" customHeight="1">
      <c r="A31" s="124"/>
      <c r="B31" s="125" t="s">
        <v>48</v>
      </c>
      <c r="C31" s="126"/>
      <c r="D31" s="127">
        <f>21.2+10</f>
        <v>31.2</v>
      </c>
      <c r="E31" s="215"/>
      <c r="F31" s="128"/>
      <c r="J31" s="47"/>
    </row>
    <row r="32" spans="1:10" ht="15.75" customHeight="1">
      <c r="A32" s="124"/>
      <c r="B32" s="125" t="s">
        <v>49</v>
      </c>
      <c r="C32" s="126"/>
      <c r="D32" s="127">
        <f>45.62+14.18+13.8</f>
        <v>73.6</v>
      </c>
      <c r="E32" s="215"/>
      <c r="F32" s="128"/>
      <c r="J32" s="47"/>
    </row>
    <row r="33" spans="1:10" ht="15.75" customHeight="1">
      <c r="A33" s="124"/>
      <c r="B33" s="125" t="s">
        <v>50</v>
      </c>
      <c r="C33" s="126"/>
      <c r="D33" s="127">
        <f>175.6+58.3</f>
        <v>233.89999999999998</v>
      </c>
      <c r="E33" s="215"/>
      <c r="F33" s="128"/>
      <c r="J33" s="47"/>
    </row>
    <row r="34" spans="1:10" ht="15.75" customHeight="1">
      <c r="A34" s="124"/>
      <c r="B34" s="125" t="s">
        <v>51</v>
      </c>
      <c r="C34" s="126"/>
      <c r="D34" s="127">
        <f>23.6+31.3+19.1</f>
        <v>74</v>
      </c>
      <c r="E34" s="215"/>
      <c r="F34" s="128"/>
      <c r="J34" s="47"/>
    </row>
    <row r="35" spans="1:10" ht="15.75" customHeight="1">
      <c r="A35" s="124"/>
      <c r="B35" s="125" t="s">
        <v>43</v>
      </c>
      <c r="C35" s="126"/>
      <c r="D35" s="127">
        <f>565.35+52.67+58.5</f>
        <v>676.52</v>
      </c>
      <c r="E35" s="215"/>
      <c r="F35" s="128"/>
      <c r="J35" s="47"/>
    </row>
    <row r="36" spans="1:10" ht="15.75" customHeight="1">
      <c r="A36" s="129"/>
      <c r="B36" s="125" t="s">
        <v>166</v>
      </c>
      <c r="C36" s="131"/>
      <c r="D36" s="127">
        <f>13.45+8.77+18.6+45+17.4+9+2.4+23.81+33.7+6.7</f>
        <v>178.82999999999998</v>
      </c>
      <c r="E36" s="215"/>
      <c r="F36" s="128"/>
      <c r="J36" s="47"/>
    </row>
    <row r="37" spans="1:10" ht="15.75" customHeight="1">
      <c r="A37" s="129"/>
      <c r="B37" s="125"/>
      <c r="C37" s="131"/>
      <c r="D37" s="127"/>
      <c r="E37" s="215"/>
      <c r="F37" s="128"/>
      <c r="J37" s="47"/>
    </row>
    <row r="38" spans="1:10" ht="78">
      <c r="A38" s="124">
        <v>7</v>
      </c>
      <c r="B38" s="125" t="s">
        <v>167</v>
      </c>
      <c r="C38" s="126" t="s">
        <v>5</v>
      </c>
      <c r="D38" s="127">
        <f>SUM(D39:D57)</f>
        <v>64.064</v>
      </c>
      <c r="E38" s="215"/>
      <c r="F38" s="128">
        <f>D38*E38</f>
        <v>0</v>
      </c>
      <c r="J38" s="47"/>
    </row>
    <row r="39" spans="1:10" ht="15.75" customHeight="1">
      <c r="A39" s="124"/>
      <c r="B39" s="125" t="s">
        <v>21</v>
      </c>
      <c r="C39" s="126"/>
      <c r="D39" s="127">
        <v>2.8</v>
      </c>
      <c r="E39" s="215"/>
      <c r="F39" s="128"/>
      <c r="J39" s="47"/>
    </row>
    <row r="40" spans="1:10" ht="15.75" customHeight="1">
      <c r="A40" s="124"/>
      <c r="B40" s="125" t="s">
        <v>22</v>
      </c>
      <c r="C40" s="126"/>
      <c r="D40" s="127">
        <v>1.92</v>
      </c>
      <c r="E40" s="215"/>
      <c r="F40" s="128"/>
      <c r="J40" s="47"/>
    </row>
    <row r="41" spans="1:10" ht="15.75" customHeight="1">
      <c r="A41" s="124"/>
      <c r="B41" s="131" t="s">
        <v>25</v>
      </c>
      <c r="C41" s="126"/>
      <c r="D41" s="127">
        <f>5.8*0.2</f>
        <v>1.16</v>
      </c>
      <c r="E41" s="215"/>
      <c r="F41" s="128"/>
      <c r="J41" s="47"/>
    </row>
    <row r="42" spans="1:10" ht="15.75" customHeight="1">
      <c r="A42" s="124"/>
      <c r="B42" s="131" t="s">
        <v>26</v>
      </c>
      <c r="C42" s="126"/>
      <c r="D42" s="127">
        <f>13.21*0.2</f>
        <v>2.6420000000000003</v>
      </c>
      <c r="E42" s="215"/>
      <c r="F42" s="128"/>
      <c r="J42" s="47"/>
    </row>
    <row r="43" spans="1:10" ht="15.75" customHeight="1">
      <c r="A43" s="124"/>
      <c r="B43" s="131" t="s">
        <v>27</v>
      </c>
      <c r="C43" s="126"/>
      <c r="D43" s="127">
        <f>+(0.94+6+1.92)*0.2</f>
        <v>1.772</v>
      </c>
      <c r="E43" s="215"/>
      <c r="F43" s="128"/>
      <c r="J43" s="47"/>
    </row>
    <row r="44" spans="1:10" ht="15.75" customHeight="1">
      <c r="A44" s="124"/>
      <c r="B44" s="131" t="s">
        <v>28</v>
      </c>
      <c r="C44" s="126"/>
      <c r="D44" s="127">
        <f>10*0.2</f>
        <v>2</v>
      </c>
      <c r="E44" s="215"/>
      <c r="F44" s="128"/>
      <c r="J44" s="47"/>
    </row>
    <row r="45" spans="1:10" ht="15.75" customHeight="1">
      <c r="A45" s="124"/>
      <c r="B45" s="131" t="s">
        <v>30</v>
      </c>
      <c r="C45" s="126"/>
      <c r="D45" s="127">
        <f>7.5*0.2</f>
        <v>1.5</v>
      </c>
      <c r="E45" s="215"/>
      <c r="F45" s="128"/>
      <c r="J45" s="47"/>
    </row>
    <row r="46" spans="1:10" ht="15.75" customHeight="1">
      <c r="A46" s="124"/>
      <c r="B46" s="131" t="s">
        <v>32</v>
      </c>
      <c r="C46" s="126"/>
      <c r="D46" s="127">
        <f>+(3.9+2.11+1.75+2.22+2)*0.2</f>
        <v>2.3960000000000004</v>
      </c>
      <c r="E46" s="215"/>
      <c r="F46" s="128"/>
      <c r="J46" s="47"/>
    </row>
    <row r="47" spans="1:10" ht="15.75" customHeight="1">
      <c r="A47" s="124"/>
      <c r="B47" s="132" t="s">
        <v>33</v>
      </c>
      <c r="C47" s="126"/>
      <c r="D47" s="127">
        <f>9.2*0.2</f>
        <v>1.8399999999999999</v>
      </c>
      <c r="E47" s="215"/>
      <c r="F47" s="128"/>
      <c r="J47" s="47"/>
    </row>
    <row r="48" spans="1:10" ht="18" customHeight="1">
      <c r="A48" s="124"/>
      <c r="B48" s="131" t="s">
        <v>45</v>
      </c>
      <c r="C48" s="126"/>
      <c r="D48" s="127">
        <f>+(4.71+1.52+9.6)*0.2</f>
        <v>3.1660000000000004</v>
      </c>
      <c r="E48" s="215"/>
      <c r="F48" s="128"/>
      <c r="J48" s="47"/>
    </row>
    <row r="49" spans="1:10" ht="18" customHeight="1">
      <c r="A49" s="124"/>
      <c r="B49" s="131" t="s">
        <v>46</v>
      </c>
      <c r="C49" s="126"/>
      <c r="D49" s="127">
        <f>13.21*0.2</f>
        <v>2.6420000000000003</v>
      </c>
      <c r="E49" s="215"/>
      <c r="F49" s="128"/>
      <c r="J49" s="47"/>
    </row>
    <row r="50" spans="1:10" ht="18" customHeight="1">
      <c r="A50" s="124"/>
      <c r="B50" s="131" t="s">
        <v>37</v>
      </c>
      <c r="C50" s="126"/>
      <c r="D50" s="127">
        <f>+(13.2+3.41)*0.2</f>
        <v>3.322</v>
      </c>
      <c r="E50" s="215"/>
      <c r="F50" s="128"/>
      <c r="J50" s="47"/>
    </row>
    <row r="51" spans="1:10" ht="15.75" customHeight="1">
      <c r="A51" s="129"/>
      <c r="B51" s="131" t="s">
        <v>47</v>
      </c>
      <c r="C51" s="126"/>
      <c r="D51" s="127">
        <f>+(7+3.4+12.5)*0.2</f>
        <v>4.58</v>
      </c>
      <c r="E51" s="217"/>
      <c r="F51" s="128"/>
      <c r="J51" s="47"/>
    </row>
    <row r="52" spans="1:10" ht="19.5" customHeight="1">
      <c r="A52" s="129"/>
      <c r="B52" s="131" t="s">
        <v>52</v>
      </c>
      <c r="C52" s="126"/>
      <c r="D52" s="127">
        <f>+(4.1+6.7)*0.2+(4.4+7.75+5.7+3.85)*0.2</f>
        <v>6.500000000000001</v>
      </c>
      <c r="E52" s="218"/>
      <c r="F52" s="133"/>
      <c r="J52" s="42"/>
    </row>
    <row r="53" spans="1:10" ht="15.75" customHeight="1">
      <c r="A53" s="129"/>
      <c r="B53" s="125" t="s">
        <v>48</v>
      </c>
      <c r="C53" s="126"/>
      <c r="D53" s="127">
        <f>9.2*0.2</f>
        <v>1.8399999999999999</v>
      </c>
      <c r="E53" s="217"/>
      <c r="F53" s="128"/>
      <c r="J53" s="47"/>
    </row>
    <row r="54" spans="1:10" ht="16.5" customHeight="1">
      <c r="A54" s="124"/>
      <c r="B54" s="125" t="s">
        <v>49</v>
      </c>
      <c r="C54" s="131"/>
      <c r="D54" s="134">
        <f>+(4.05+13)*0.2</f>
        <v>3.41</v>
      </c>
      <c r="E54" s="219"/>
      <c r="F54" s="131"/>
      <c r="J54" s="21"/>
    </row>
    <row r="55" spans="1:10" ht="15.75" customHeight="1">
      <c r="A55" s="129"/>
      <c r="B55" s="125" t="s">
        <v>50</v>
      </c>
      <c r="C55" s="126"/>
      <c r="D55" s="127">
        <f>+(11.3+1.1+3.33+0.5+3.37+1.1+0.5)*0.2</f>
        <v>4.240000000000001</v>
      </c>
      <c r="E55" s="217"/>
      <c r="F55" s="128"/>
      <c r="J55" s="47"/>
    </row>
    <row r="56" spans="1:10" ht="17.25" customHeight="1">
      <c r="A56" s="129"/>
      <c r="B56" s="125" t="s">
        <v>51</v>
      </c>
      <c r="C56" s="130"/>
      <c r="D56" s="127">
        <f>+(2.8+3.3+0.7+9.62)*0.2</f>
        <v>3.284</v>
      </c>
      <c r="E56" s="219"/>
      <c r="F56" s="131"/>
      <c r="J56" s="25"/>
    </row>
    <row r="57" spans="1:10" ht="17.25" customHeight="1">
      <c r="A57" s="124"/>
      <c r="B57" s="125" t="s">
        <v>43</v>
      </c>
      <c r="C57" s="126"/>
      <c r="D57" s="127">
        <f>+(12.8+12.8+15.15+1.35+1.23+12.92+6.2+2.8)*0.2</f>
        <v>13.05</v>
      </c>
      <c r="E57" s="215"/>
      <c r="F57" s="128"/>
      <c r="J57" s="47"/>
    </row>
    <row r="58" spans="1:10" ht="17.25" customHeight="1">
      <c r="A58" s="124"/>
      <c r="B58" s="125"/>
      <c r="C58" s="126"/>
      <c r="D58" s="127"/>
      <c r="E58" s="215"/>
      <c r="F58" s="128"/>
      <c r="J58" s="47"/>
    </row>
    <row r="59" spans="1:10" ht="78">
      <c r="A59" s="124">
        <v>8</v>
      </c>
      <c r="B59" s="125" t="s">
        <v>169</v>
      </c>
      <c r="C59" s="126" t="s">
        <v>5</v>
      </c>
      <c r="D59" s="127">
        <f>SUM(D60:D65)</f>
        <v>18.09</v>
      </c>
      <c r="E59" s="215"/>
      <c r="F59" s="128">
        <f>+E59*D59</f>
        <v>0</v>
      </c>
      <c r="J59" s="47"/>
    </row>
    <row r="60" spans="1:10" ht="15.75" customHeight="1">
      <c r="A60" s="124"/>
      <c r="B60" s="136" t="s">
        <v>22</v>
      </c>
      <c r="C60" s="126"/>
      <c r="D60" s="127">
        <v>1.92</v>
      </c>
      <c r="E60" s="215"/>
      <c r="F60" s="128"/>
      <c r="J60" s="47"/>
    </row>
    <row r="61" spans="1:10" ht="15.75" customHeight="1">
      <c r="A61" s="124"/>
      <c r="B61" s="135" t="s">
        <v>26</v>
      </c>
      <c r="C61" s="126"/>
      <c r="D61" s="127">
        <f>3.85+4.1</f>
        <v>7.949999999999999</v>
      </c>
      <c r="E61" s="215"/>
      <c r="F61" s="128"/>
      <c r="J61" s="47"/>
    </row>
    <row r="62" spans="1:10" ht="15.75" customHeight="1">
      <c r="A62" s="124"/>
      <c r="B62" s="135" t="s">
        <v>27</v>
      </c>
      <c r="C62" s="126"/>
      <c r="D62" s="127">
        <v>1.1</v>
      </c>
      <c r="E62" s="215"/>
      <c r="F62" s="128"/>
      <c r="J62" s="47"/>
    </row>
    <row r="63" spans="1:10" ht="15.75" customHeight="1">
      <c r="A63" s="124"/>
      <c r="B63" s="136" t="s">
        <v>28</v>
      </c>
      <c r="C63" s="126"/>
      <c r="D63" s="127">
        <v>1.5</v>
      </c>
      <c r="E63" s="215"/>
      <c r="F63" s="128"/>
      <c r="J63" s="47"/>
    </row>
    <row r="64" spans="1:10" ht="15.75" customHeight="1">
      <c r="A64" s="124"/>
      <c r="B64" s="135" t="s">
        <v>30</v>
      </c>
      <c r="C64" s="126"/>
      <c r="D64" s="127">
        <v>3</v>
      </c>
      <c r="E64" s="215"/>
      <c r="F64" s="128"/>
      <c r="J64" s="47"/>
    </row>
    <row r="65" spans="1:10" ht="17.25" customHeight="1">
      <c r="A65" s="124"/>
      <c r="B65" s="136" t="s">
        <v>37</v>
      </c>
      <c r="C65" s="126"/>
      <c r="D65" s="127">
        <v>2.62</v>
      </c>
      <c r="E65" s="215"/>
      <c r="F65" s="128"/>
      <c r="J65" s="47"/>
    </row>
    <row r="66" spans="1:10" ht="17.25" customHeight="1">
      <c r="A66" s="124"/>
      <c r="B66" s="125"/>
      <c r="C66" s="126"/>
      <c r="D66" s="127"/>
      <c r="E66" s="215"/>
      <c r="F66" s="128"/>
      <c r="J66" s="47"/>
    </row>
    <row r="67" spans="1:10" ht="64.5">
      <c r="A67" s="124">
        <v>9</v>
      </c>
      <c r="B67" s="137" t="s">
        <v>189</v>
      </c>
      <c r="C67" s="138" t="s">
        <v>57</v>
      </c>
      <c r="D67" s="139">
        <v>1</v>
      </c>
      <c r="E67" s="220"/>
      <c r="F67" s="140">
        <f>+E67*D67</f>
        <v>0</v>
      </c>
      <c r="J67" s="47"/>
    </row>
    <row r="68" spans="1:10" ht="13.5">
      <c r="A68" s="129"/>
      <c r="B68" s="125"/>
      <c r="C68" s="126"/>
      <c r="D68" s="127"/>
      <c r="E68" s="217"/>
      <c r="F68" s="128"/>
      <c r="J68" s="47"/>
    </row>
    <row r="69" spans="1:10" ht="78">
      <c r="A69" s="141">
        <v>10</v>
      </c>
      <c r="B69" s="125" t="s">
        <v>31</v>
      </c>
      <c r="C69" s="126" t="s">
        <v>7</v>
      </c>
      <c r="D69" s="127">
        <f>SUM(D70:D73)</f>
        <v>5</v>
      </c>
      <c r="E69" s="215"/>
      <c r="F69" s="128">
        <f>D69*E69</f>
        <v>0</v>
      </c>
      <c r="J69" s="57"/>
    </row>
    <row r="70" spans="1:6" ht="13.5">
      <c r="A70" s="142"/>
      <c r="B70" s="131" t="s">
        <v>27</v>
      </c>
      <c r="C70" s="130"/>
      <c r="D70" s="134">
        <v>1</v>
      </c>
      <c r="E70" s="221"/>
      <c r="F70" s="143"/>
    </row>
    <row r="71" spans="1:6" ht="13.5">
      <c r="A71" s="142"/>
      <c r="B71" s="131" t="s">
        <v>30</v>
      </c>
      <c r="C71" s="130"/>
      <c r="D71" s="134">
        <v>1</v>
      </c>
      <c r="E71" s="221"/>
      <c r="F71" s="143"/>
    </row>
    <row r="72" spans="1:6" ht="13.5">
      <c r="A72" s="142"/>
      <c r="B72" s="131" t="s">
        <v>32</v>
      </c>
      <c r="C72" s="130"/>
      <c r="D72" s="134">
        <f>1+1</f>
        <v>2</v>
      </c>
      <c r="E72" s="221"/>
      <c r="F72" s="143"/>
    </row>
    <row r="73" spans="1:10" ht="13.5">
      <c r="A73" s="141"/>
      <c r="B73" s="132" t="s">
        <v>33</v>
      </c>
      <c r="C73" s="126"/>
      <c r="D73" s="127">
        <v>1</v>
      </c>
      <c r="E73" s="222"/>
      <c r="F73" s="144"/>
      <c r="J73" s="60"/>
    </row>
    <row r="74" spans="1:10" ht="13.5">
      <c r="A74" s="141"/>
      <c r="B74" s="132"/>
      <c r="C74" s="126"/>
      <c r="D74" s="127"/>
      <c r="E74" s="222"/>
      <c r="F74" s="144"/>
      <c r="J74" s="60"/>
    </row>
    <row r="75" spans="1:6" ht="51.75">
      <c r="A75" s="142">
        <v>11</v>
      </c>
      <c r="B75" s="125" t="s">
        <v>24</v>
      </c>
      <c r="C75" s="126" t="s">
        <v>7</v>
      </c>
      <c r="D75" s="127">
        <f>SUM(D76:D77)</f>
        <v>4</v>
      </c>
      <c r="E75" s="218"/>
      <c r="F75" s="133">
        <f>D75*E75</f>
        <v>0</v>
      </c>
    </row>
    <row r="76" spans="1:6" ht="13.5">
      <c r="A76" s="142"/>
      <c r="B76" s="131" t="s">
        <v>33</v>
      </c>
      <c r="C76" s="130"/>
      <c r="D76" s="134">
        <v>2</v>
      </c>
      <c r="E76" s="221"/>
      <c r="F76" s="143"/>
    </row>
    <row r="77" spans="1:6" ht="13.5">
      <c r="A77" s="142"/>
      <c r="B77" s="131" t="str">
        <f>+B90</f>
        <v>LETNI KINO ATRIJ</v>
      </c>
      <c r="C77" s="130"/>
      <c r="D77" s="134">
        <f>1+1</f>
        <v>2</v>
      </c>
      <c r="E77" s="221"/>
      <c r="F77" s="143"/>
    </row>
    <row r="78" spans="1:6" ht="13.5">
      <c r="A78" s="142"/>
      <c r="B78" s="131"/>
      <c r="C78" s="130"/>
      <c r="D78" s="134"/>
      <c r="E78" s="221"/>
      <c r="F78" s="143"/>
    </row>
    <row r="79" spans="1:6" ht="51.75">
      <c r="A79" s="142">
        <v>12</v>
      </c>
      <c r="B79" s="145" t="s">
        <v>173</v>
      </c>
      <c r="C79" s="138" t="s">
        <v>7</v>
      </c>
      <c r="D79" s="139">
        <f>SUM(D80:D81)</f>
        <v>3</v>
      </c>
      <c r="E79" s="220"/>
      <c r="F79" s="140">
        <f>+E79*D79</f>
        <v>0</v>
      </c>
    </row>
    <row r="80" spans="1:6" ht="13.5">
      <c r="A80" s="142"/>
      <c r="B80" s="131" t="s">
        <v>25</v>
      </c>
      <c r="C80" s="130"/>
      <c r="D80" s="134">
        <v>2</v>
      </c>
      <c r="E80" s="221"/>
      <c r="F80" s="143"/>
    </row>
    <row r="81" spans="1:6" ht="13.5">
      <c r="A81" s="142"/>
      <c r="B81" s="131" t="s">
        <v>32</v>
      </c>
      <c r="C81" s="130"/>
      <c r="D81" s="134">
        <v>1</v>
      </c>
      <c r="E81" s="221"/>
      <c r="F81" s="143"/>
    </row>
    <row r="82" spans="1:6" ht="13.5">
      <c r="A82" s="142"/>
      <c r="B82" s="131"/>
      <c r="C82" s="130"/>
      <c r="D82" s="134"/>
      <c r="E82" s="221"/>
      <c r="F82" s="143"/>
    </row>
    <row r="83" spans="1:6" ht="78">
      <c r="A83" s="142">
        <v>13</v>
      </c>
      <c r="B83" s="145" t="s">
        <v>172</v>
      </c>
      <c r="C83" s="138" t="s">
        <v>7</v>
      </c>
      <c r="D83" s="139">
        <f>SUM(D84:D90)</f>
        <v>16</v>
      </c>
      <c r="E83" s="220"/>
      <c r="F83" s="140">
        <f>+E83*D83</f>
        <v>0</v>
      </c>
    </row>
    <row r="84" spans="1:6" ht="13.5">
      <c r="A84" s="142"/>
      <c r="B84" s="131" t="s">
        <v>21</v>
      </c>
      <c r="C84" s="130"/>
      <c r="D84" s="134">
        <v>3</v>
      </c>
      <c r="E84" s="221"/>
      <c r="F84" s="143"/>
    </row>
    <row r="85" spans="1:6" ht="13.5">
      <c r="A85" s="142"/>
      <c r="B85" s="131" t="s">
        <v>22</v>
      </c>
      <c r="C85" s="130"/>
      <c r="D85" s="134">
        <v>2</v>
      </c>
      <c r="E85" s="221"/>
      <c r="F85" s="143"/>
    </row>
    <row r="86" spans="1:6" ht="13.5">
      <c r="A86" s="142"/>
      <c r="B86" s="131" t="s">
        <v>25</v>
      </c>
      <c r="C86" s="130"/>
      <c r="D86" s="134">
        <v>1</v>
      </c>
      <c r="E86" s="221"/>
      <c r="F86" s="143"/>
    </row>
    <row r="87" spans="1:6" ht="13.5">
      <c r="A87" s="142"/>
      <c r="B87" s="131" t="s">
        <v>26</v>
      </c>
      <c r="C87" s="130"/>
      <c r="D87" s="134">
        <v>1</v>
      </c>
      <c r="E87" s="221"/>
      <c r="F87" s="143"/>
    </row>
    <row r="88" spans="1:6" ht="13.5">
      <c r="A88" s="142"/>
      <c r="B88" s="131" t="s">
        <v>29</v>
      </c>
      <c r="C88" s="130"/>
      <c r="D88" s="134">
        <v>1</v>
      </c>
      <c r="E88" s="221"/>
      <c r="F88" s="143"/>
    </row>
    <row r="89" spans="1:6" ht="13.5">
      <c r="A89" s="142"/>
      <c r="B89" s="131" t="s">
        <v>32</v>
      </c>
      <c r="C89" s="130"/>
      <c r="D89" s="134">
        <f>1+1</f>
        <v>2</v>
      </c>
      <c r="E89" s="221"/>
      <c r="F89" s="143"/>
    </row>
    <row r="90" spans="1:6" ht="13.5">
      <c r="A90" s="142"/>
      <c r="B90" s="131" t="s">
        <v>43</v>
      </c>
      <c r="C90" s="130"/>
      <c r="D90" s="134">
        <v>6</v>
      </c>
      <c r="E90" s="221"/>
      <c r="F90" s="143"/>
    </row>
    <row r="91" spans="1:6" ht="13.5">
      <c r="A91" s="142"/>
      <c r="B91" s="131"/>
      <c r="C91" s="130"/>
      <c r="D91" s="134"/>
      <c r="E91" s="221"/>
      <c r="F91" s="143"/>
    </row>
    <row r="92" spans="1:6" ht="13.5">
      <c r="A92" s="142"/>
      <c r="B92" s="131"/>
      <c r="C92" s="130"/>
      <c r="D92" s="134"/>
      <c r="E92" s="221"/>
      <c r="F92" s="143"/>
    </row>
    <row r="93" spans="1:6" ht="51.75">
      <c r="A93" s="142">
        <v>14</v>
      </c>
      <c r="B93" s="145" t="s">
        <v>174</v>
      </c>
      <c r="C93" s="130" t="s">
        <v>7</v>
      </c>
      <c r="D93" s="134">
        <f>SUM(D94:D105)</f>
        <v>19</v>
      </c>
      <c r="E93" s="221"/>
      <c r="F93" s="143">
        <f>+E93*D93</f>
        <v>0</v>
      </c>
    </row>
    <row r="94" spans="1:6" ht="13.5">
      <c r="A94" s="142"/>
      <c r="B94" s="145" t="s">
        <v>21</v>
      </c>
      <c r="C94" s="130"/>
      <c r="D94" s="134">
        <f>1+1</f>
        <v>2</v>
      </c>
      <c r="E94" s="221"/>
      <c r="F94" s="143"/>
    </row>
    <row r="95" spans="1:6" ht="13.5">
      <c r="A95" s="142"/>
      <c r="B95" s="131" t="s">
        <v>26</v>
      </c>
      <c r="C95" s="131"/>
      <c r="D95" s="134">
        <f>1+1</f>
        <v>2</v>
      </c>
      <c r="E95" s="221"/>
      <c r="F95" s="143"/>
    </row>
    <row r="96" spans="1:6" ht="13.5">
      <c r="A96" s="142"/>
      <c r="B96" s="131" t="s">
        <v>28</v>
      </c>
      <c r="C96" s="130"/>
      <c r="D96" s="134">
        <v>1</v>
      </c>
      <c r="E96" s="221"/>
      <c r="F96" s="143"/>
    </row>
    <row r="97" spans="1:6" ht="13.5">
      <c r="A97" s="142"/>
      <c r="B97" s="131" t="s">
        <v>34</v>
      </c>
      <c r="C97" s="130"/>
      <c r="D97" s="134">
        <v>1</v>
      </c>
      <c r="E97" s="221"/>
      <c r="F97" s="143"/>
    </row>
    <row r="98" spans="1:6" ht="13.5">
      <c r="A98" s="142"/>
      <c r="B98" s="131" t="s">
        <v>35</v>
      </c>
      <c r="C98" s="130"/>
      <c r="D98" s="134">
        <f>1+1</f>
        <v>2</v>
      </c>
      <c r="E98" s="221"/>
      <c r="F98" s="143"/>
    </row>
    <row r="99" spans="1:6" ht="13.5">
      <c r="A99" s="142"/>
      <c r="B99" s="131" t="s">
        <v>36</v>
      </c>
      <c r="C99" s="130"/>
      <c r="D99" s="134">
        <v>1</v>
      </c>
      <c r="E99" s="221"/>
      <c r="F99" s="143"/>
    </row>
    <row r="100" spans="1:6" ht="13.5">
      <c r="A100" s="142"/>
      <c r="B100" s="131" t="s">
        <v>38</v>
      </c>
      <c r="C100" s="130"/>
      <c r="D100" s="134">
        <v>2</v>
      </c>
      <c r="E100" s="221"/>
      <c r="F100" s="143"/>
    </row>
    <row r="101" spans="1:6" ht="13.5">
      <c r="A101" s="142"/>
      <c r="B101" s="131" t="s">
        <v>39</v>
      </c>
      <c r="C101" s="130"/>
      <c r="D101" s="134">
        <v>1</v>
      </c>
      <c r="E101" s="221"/>
      <c r="F101" s="143"/>
    </row>
    <row r="102" spans="1:6" ht="13.5">
      <c r="A102" s="142"/>
      <c r="B102" s="131" t="s">
        <v>40</v>
      </c>
      <c r="C102" s="130"/>
      <c r="D102" s="134">
        <v>1</v>
      </c>
      <c r="E102" s="221"/>
      <c r="F102" s="143"/>
    </row>
    <row r="103" spans="1:6" ht="13.5">
      <c r="A103" s="142"/>
      <c r="B103" s="131" t="s">
        <v>41</v>
      </c>
      <c r="C103" s="130"/>
      <c r="D103" s="134">
        <v>1</v>
      </c>
      <c r="E103" s="221"/>
      <c r="F103" s="143"/>
    </row>
    <row r="104" spans="1:6" ht="13.5">
      <c r="A104" s="142"/>
      <c r="B104" s="131" t="s">
        <v>42</v>
      </c>
      <c r="C104" s="130"/>
      <c r="D104" s="134">
        <v>1</v>
      </c>
      <c r="E104" s="221"/>
      <c r="F104" s="143"/>
    </row>
    <row r="105" spans="1:6" ht="13.5">
      <c r="A105" s="142"/>
      <c r="B105" s="131" t="s">
        <v>43</v>
      </c>
      <c r="C105" s="130"/>
      <c r="D105" s="134">
        <v>4</v>
      </c>
      <c r="E105" s="221"/>
      <c r="F105" s="143"/>
    </row>
    <row r="106" spans="1:6" ht="13.5">
      <c r="A106" s="142"/>
      <c r="B106" s="131"/>
      <c r="C106" s="130"/>
      <c r="D106" s="134"/>
      <c r="E106" s="221"/>
      <c r="F106" s="143"/>
    </row>
    <row r="107" spans="1:6" ht="13.5">
      <c r="A107" s="142"/>
      <c r="B107" s="131"/>
      <c r="C107" s="130"/>
      <c r="D107" s="134"/>
      <c r="E107" s="221"/>
      <c r="F107" s="143"/>
    </row>
    <row r="108" spans="1:6" ht="25.5">
      <c r="A108" s="142">
        <v>15</v>
      </c>
      <c r="B108" s="146" t="s">
        <v>56</v>
      </c>
      <c r="C108" s="130" t="s">
        <v>7</v>
      </c>
      <c r="D108" s="134">
        <v>1</v>
      </c>
      <c r="E108" s="221"/>
      <c r="F108" s="143">
        <f>+E108*D108</f>
        <v>0</v>
      </c>
    </row>
    <row r="109" spans="1:6" ht="13.5">
      <c r="A109" s="142"/>
      <c r="B109" s="131" t="s">
        <v>25</v>
      </c>
      <c r="C109" s="130"/>
      <c r="D109" s="134">
        <v>1</v>
      </c>
      <c r="E109" s="221"/>
      <c r="F109" s="143"/>
    </row>
    <row r="110" spans="1:6" ht="13.5">
      <c r="A110" s="142"/>
      <c r="B110" s="131"/>
      <c r="C110" s="130"/>
      <c r="D110" s="134"/>
      <c r="E110" s="221"/>
      <c r="F110" s="143"/>
    </row>
    <row r="111" spans="1:6" ht="51.75">
      <c r="A111" s="142">
        <v>16</v>
      </c>
      <c r="B111" s="146" t="s">
        <v>58</v>
      </c>
      <c r="C111" s="130" t="s">
        <v>57</v>
      </c>
      <c r="D111" s="134">
        <v>1</v>
      </c>
      <c r="E111" s="221"/>
      <c r="F111" s="143">
        <f>+E111*D111</f>
        <v>0</v>
      </c>
    </row>
    <row r="112" spans="1:6" ht="13.5">
      <c r="A112" s="142"/>
      <c r="B112" s="131"/>
      <c r="C112" s="130"/>
      <c r="D112" s="134"/>
      <c r="E112" s="221"/>
      <c r="F112" s="143"/>
    </row>
    <row r="113" spans="1:6" ht="39">
      <c r="A113" s="142">
        <v>17</v>
      </c>
      <c r="B113" s="137" t="s">
        <v>175</v>
      </c>
      <c r="C113" s="147" t="s">
        <v>5</v>
      </c>
      <c r="D113" s="148">
        <f>85.6/0.2*0.8</f>
        <v>342.4</v>
      </c>
      <c r="E113" s="223"/>
      <c r="F113" s="150">
        <f>+E113*D113</f>
        <v>0</v>
      </c>
    </row>
    <row r="114" spans="1:6" ht="13.5">
      <c r="A114" s="142"/>
      <c r="B114" s="131"/>
      <c r="C114" s="130"/>
      <c r="D114" s="134"/>
      <c r="E114" s="221"/>
      <c r="F114" s="143"/>
    </row>
    <row r="115" spans="1:6" ht="39">
      <c r="A115" s="142">
        <v>18</v>
      </c>
      <c r="B115" s="146" t="s">
        <v>179</v>
      </c>
      <c r="C115" s="151" t="s">
        <v>16</v>
      </c>
      <c r="D115" s="152">
        <f>SUM(D116:D118)</f>
        <v>61.86</v>
      </c>
      <c r="E115" s="224"/>
      <c r="F115" s="153">
        <f>+D115*E115</f>
        <v>0</v>
      </c>
    </row>
    <row r="116" spans="1:6" ht="13.5">
      <c r="A116" s="142"/>
      <c r="B116" s="131" t="s">
        <v>180</v>
      </c>
      <c r="C116" s="130"/>
      <c r="D116" s="134">
        <f>6.52+1.4+12.8+3.1</f>
        <v>23.82</v>
      </c>
      <c r="E116" s="221"/>
      <c r="F116" s="143"/>
    </row>
    <row r="117" spans="1:6" ht="13.5">
      <c r="A117" s="142"/>
      <c r="B117" s="131" t="s">
        <v>32</v>
      </c>
      <c r="C117" s="130"/>
      <c r="D117" s="134">
        <f>6.77+2.11+1.75+2.22+2+3.78+3.8</f>
        <v>22.43</v>
      </c>
      <c r="E117" s="221"/>
      <c r="F117" s="143"/>
    </row>
    <row r="118" spans="1:6" ht="13.5">
      <c r="A118" s="142"/>
      <c r="B118" s="131" t="s">
        <v>44</v>
      </c>
      <c r="C118" s="130"/>
      <c r="D118" s="134">
        <f>1.6+12.4+1.61</f>
        <v>15.61</v>
      </c>
      <c r="E118" s="221"/>
      <c r="F118" s="143"/>
    </row>
    <row r="119" spans="1:6" ht="13.5">
      <c r="A119" s="142"/>
      <c r="B119" s="131"/>
      <c r="C119" s="130"/>
      <c r="D119" s="134"/>
      <c r="E119" s="221"/>
      <c r="F119" s="143"/>
    </row>
    <row r="120" spans="1:6" ht="64.5">
      <c r="A120" s="142">
        <v>19</v>
      </c>
      <c r="B120" s="137" t="s">
        <v>240</v>
      </c>
      <c r="C120" s="151" t="s">
        <v>5</v>
      </c>
      <c r="D120" s="152">
        <f>56.1+76</f>
        <v>132.1</v>
      </c>
      <c r="E120" s="224"/>
      <c r="F120" s="153">
        <f>+D120*E120</f>
        <v>0</v>
      </c>
    </row>
    <row r="122" spans="1:6" s="10" customFormat="1" ht="12.75">
      <c r="A122" s="437"/>
      <c r="B122" s="666" t="s">
        <v>59</v>
      </c>
      <c r="C122" s="666"/>
      <c r="D122" s="666"/>
      <c r="E122" s="438"/>
      <c r="F122" s="439">
        <f>SUM(F5:F120)</f>
        <v>0</v>
      </c>
    </row>
  </sheetData>
  <sheetProtection password="9234" sheet="1" objects="1" scenarios="1"/>
  <mergeCells count="2">
    <mergeCell ref="B1:F1"/>
    <mergeCell ref="B122:D122"/>
  </mergeCells>
  <printOptions/>
  <pageMargins left="0.7500000000000001" right="0.7500000000000001" top="0.6984953703703703" bottom="1" header="0.16" footer="0.5"/>
  <pageSetup fitToHeight="0" fitToWidth="1" orientation="portrait" paperSize="9" scale="85"/>
  <headerFooter alignWithMargins="0">
    <oddHeader>&amp;C&amp;"Calibri,Bold"&amp;K000000PREDRAČUN: ENERGETSKA SANACIJA DOM NA VIDMU&amp;"Calibri,Regular"
</oddHeader>
    <oddFooter>&amp;LProjektantski predračun&amp;R&amp;P/&amp;N</oddFooter>
  </headerFooter>
  <ignoredErrors>
    <ignoredError sqref="F122"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G94"/>
  <sheetViews>
    <sheetView showGridLines="0" workbookViewId="0" topLeftCell="A83">
      <selection activeCell="E5" sqref="E5:E90"/>
    </sheetView>
  </sheetViews>
  <sheetFormatPr defaultColWidth="9.140625" defaultRowHeight="15"/>
  <cols>
    <col min="1" max="1" width="6.28125" style="16" customWidth="1"/>
    <col min="2" max="2" width="39.140625" style="16" customWidth="1"/>
    <col min="3" max="3" width="9.140625" style="16" customWidth="1"/>
    <col min="4" max="4" width="8.421875" style="48" customWidth="1"/>
    <col min="5" max="5" width="14.421875" style="16" customWidth="1"/>
    <col min="6" max="6" width="16.421875" style="16" customWidth="1"/>
    <col min="7" max="7" width="18.28125" style="16" customWidth="1"/>
    <col min="8" max="16384" width="9.140625" style="16" customWidth="1"/>
  </cols>
  <sheetData>
    <row r="1" spans="1:7" ht="13.5">
      <c r="A1" s="437" t="s">
        <v>9</v>
      </c>
      <c r="B1" s="667" t="s">
        <v>10</v>
      </c>
      <c r="C1" s="668"/>
      <c r="D1" s="668"/>
      <c r="E1" s="668"/>
      <c r="F1" s="669"/>
      <c r="G1" s="18"/>
    </row>
    <row r="2" spans="1:6" s="238" customFormat="1" ht="13.5">
      <c r="A2" s="430"/>
      <c r="B2" s="431"/>
      <c r="C2" s="431"/>
      <c r="D2" s="432"/>
      <c r="E2" s="431"/>
      <c r="F2" s="433"/>
    </row>
    <row r="3" spans="1:6" ht="13.5">
      <c r="A3" s="441" t="s">
        <v>0</v>
      </c>
      <c r="B3" s="442" t="s">
        <v>1</v>
      </c>
      <c r="C3" s="441" t="s">
        <v>266</v>
      </c>
      <c r="D3" s="443" t="s">
        <v>2</v>
      </c>
      <c r="E3" s="49" t="s">
        <v>3</v>
      </c>
      <c r="F3" s="49" t="s">
        <v>267</v>
      </c>
    </row>
    <row r="4" spans="1:7" ht="13.5">
      <c r="A4" s="104"/>
      <c r="B4" s="444"/>
      <c r="C4" s="98"/>
      <c r="D4" s="105"/>
      <c r="E4" s="95"/>
      <c r="F4" s="95"/>
      <c r="G4" s="43"/>
    </row>
    <row r="5" spans="1:6" ht="324.75">
      <c r="A5" s="91">
        <v>1</v>
      </c>
      <c r="B5" s="92" t="s">
        <v>237</v>
      </c>
      <c r="C5" s="93"/>
      <c r="D5" s="94"/>
      <c r="E5" s="225"/>
      <c r="F5" s="95"/>
    </row>
    <row r="6" spans="1:6" ht="13.5">
      <c r="A6" s="91"/>
      <c r="B6" s="92"/>
      <c r="C6" s="93"/>
      <c r="D6" s="94"/>
      <c r="E6" s="225"/>
      <c r="F6" s="95"/>
    </row>
    <row r="7" spans="1:6" s="25" customFormat="1" ht="12.75">
      <c r="A7" s="96"/>
      <c r="B7" s="97" t="s">
        <v>97</v>
      </c>
      <c r="C7" s="98" t="s">
        <v>7</v>
      </c>
      <c r="D7" s="99">
        <v>1</v>
      </c>
      <c r="E7" s="226"/>
      <c r="F7" s="95">
        <f>+E7*D7</f>
        <v>0</v>
      </c>
    </row>
    <row r="8" spans="1:6" s="25" customFormat="1" ht="12.75">
      <c r="A8" s="96"/>
      <c r="B8" s="97" t="s">
        <v>98</v>
      </c>
      <c r="C8" s="126" t="s">
        <v>7</v>
      </c>
      <c r="D8" s="99">
        <v>1</v>
      </c>
      <c r="E8" s="226"/>
      <c r="F8" s="95">
        <f>+E8*D8</f>
        <v>0</v>
      </c>
    </row>
    <row r="9" spans="1:6" s="25" customFormat="1" ht="12.75">
      <c r="A9" s="96"/>
      <c r="B9" s="97" t="s">
        <v>99</v>
      </c>
      <c r="C9" s="98" t="s">
        <v>7</v>
      </c>
      <c r="D9" s="99">
        <v>2</v>
      </c>
      <c r="E9" s="226"/>
      <c r="F9" s="95">
        <f>+E9*D9</f>
        <v>0</v>
      </c>
    </row>
    <row r="10" spans="1:6" s="25" customFormat="1" ht="12.75">
      <c r="A10" s="96"/>
      <c r="B10" s="136" t="s">
        <v>100</v>
      </c>
      <c r="C10" s="126" t="s">
        <v>7</v>
      </c>
      <c r="D10" s="561">
        <v>3</v>
      </c>
      <c r="E10" s="562"/>
      <c r="F10" s="133">
        <f aca="true" t="shared" si="0" ref="F10:F68">+E10*D10</f>
        <v>0</v>
      </c>
    </row>
    <row r="11" spans="1:6" s="25" customFormat="1" ht="12.75">
      <c r="A11" s="96"/>
      <c r="B11" s="136" t="s">
        <v>101</v>
      </c>
      <c r="C11" s="126" t="s">
        <v>7</v>
      </c>
      <c r="D11" s="561">
        <v>1</v>
      </c>
      <c r="E11" s="562"/>
      <c r="F11" s="133">
        <f t="shared" si="0"/>
        <v>0</v>
      </c>
    </row>
    <row r="12" spans="1:6" s="25" customFormat="1" ht="12.75">
      <c r="A12" s="96"/>
      <c r="B12" s="136" t="s">
        <v>102</v>
      </c>
      <c r="C12" s="126" t="s">
        <v>7</v>
      </c>
      <c r="D12" s="561">
        <v>1</v>
      </c>
      <c r="E12" s="562"/>
      <c r="F12" s="133">
        <f t="shared" si="0"/>
        <v>0</v>
      </c>
    </row>
    <row r="13" spans="1:7" s="25" customFormat="1" ht="12.75">
      <c r="A13" s="96"/>
      <c r="B13" s="100" t="s">
        <v>103</v>
      </c>
      <c r="C13" s="126" t="s">
        <v>7</v>
      </c>
      <c r="D13" s="159">
        <f>23+3+6</f>
        <v>32</v>
      </c>
      <c r="E13" s="230"/>
      <c r="F13" s="133">
        <f t="shared" si="0"/>
        <v>0</v>
      </c>
      <c r="G13" s="43"/>
    </row>
    <row r="14" spans="1:6" s="25" customFormat="1" ht="12.75">
      <c r="A14" s="96"/>
      <c r="B14" s="136" t="s">
        <v>104</v>
      </c>
      <c r="C14" s="126" t="s">
        <v>7</v>
      </c>
      <c r="D14" s="561">
        <v>1</v>
      </c>
      <c r="E14" s="562"/>
      <c r="F14" s="133">
        <f t="shared" si="0"/>
        <v>0</v>
      </c>
    </row>
    <row r="15" spans="1:6" s="25" customFormat="1" ht="12.75">
      <c r="A15" s="96"/>
      <c r="B15" s="97" t="s">
        <v>105</v>
      </c>
      <c r="C15" s="98" t="s">
        <v>7</v>
      </c>
      <c r="D15" s="102">
        <v>2</v>
      </c>
      <c r="E15" s="228"/>
      <c r="F15" s="95">
        <f t="shared" si="0"/>
        <v>0</v>
      </c>
    </row>
    <row r="16" spans="1:6" s="25" customFormat="1" ht="12.75">
      <c r="A16" s="96"/>
      <c r="B16" s="97" t="s">
        <v>106</v>
      </c>
      <c r="C16" s="98" t="s">
        <v>7</v>
      </c>
      <c r="D16" s="99">
        <v>1</v>
      </c>
      <c r="E16" s="226"/>
      <c r="F16" s="95">
        <f t="shared" si="0"/>
        <v>0</v>
      </c>
    </row>
    <row r="17" spans="1:6" s="25" customFormat="1" ht="12.75">
      <c r="A17" s="96"/>
      <c r="B17" s="97" t="s">
        <v>107</v>
      </c>
      <c r="C17" s="98" t="s">
        <v>7</v>
      </c>
      <c r="D17" s="99">
        <v>1</v>
      </c>
      <c r="E17" s="226"/>
      <c r="F17" s="95">
        <f t="shared" si="0"/>
        <v>0</v>
      </c>
    </row>
    <row r="18" spans="1:6" s="25" customFormat="1" ht="12.75">
      <c r="A18" s="96"/>
      <c r="B18" s="97" t="s">
        <v>108</v>
      </c>
      <c r="C18" s="98" t="s">
        <v>7</v>
      </c>
      <c r="D18" s="99">
        <f>2+1</f>
        <v>3</v>
      </c>
      <c r="E18" s="226"/>
      <c r="F18" s="95">
        <f t="shared" si="0"/>
        <v>0</v>
      </c>
    </row>
    <row r="19" spans="1:6" s="25" customFormat="1" ht="12.75">
      <c r="A19" s="96"/>
      <c r="B19" s="103" t="s">
        <v>109</v>
      </c>
      <c r="C19" s="98" t="s">
        <v>7</v>
      </c>
      <c r="D19" s="102">
        <v>1</v>
      </c>
      <c r="E19" s="228"/>
      <c r="F19" s="95">
        <f t="shared" si="0"/>
        <v>0</v>
      </c>
    </row>
    <row r="20" spans="1:6" s="25" customFormat="1" ht="12.75">
      <c r="A20" s="103"/>
      <c r="B20" s="103" t="s">
        <v>110</v>
      </c>
      <c r="C20" s="98" t="s">
        <v>7</v>
      </c>
      <c r="D20" s="102">
        <v>1</v>
      </c>
      <c r="E20" s="228"/>
      <c r="F20" s="95">
        <f t="shared" si="0"/>
        <v>0</v>
      </c>
    </row>
    <row r="21" spans="1:6" s="25" customFormat="1" ht="12.75">
      <c r="A21" s="17"/>
      <c r="B21" s="97" t="s">
        <v>111</v>
      </c>
      <c r="C21" s="98" t="s">
        <v>7</v>
      </c>
      <c r="D21" s="99">
        <v>1</v>
      </c>
      <c r="E21" s="226"/>
      <c r="F21" s="95">
        <f t="shared" si="0"/>
        <v>0</v>
      </c>
    </row>
    <row r="22" spans="1:6" s="25" customFormat="1" ht="12.75">
      <c r="A22" s="17"/>
      <c r="B22" s="97" t="s">
        <v>112</v>
      </c>
      <c r="C22" s="98" t="s">
        <v>7</v>
      </c>
      <c r="D22" s="99">
        <v>1</v>
      </c>
      <c r="E22" s="226"/>
      <c r="F22" s="95">
        <f t="shared" si="0"/>
        <v>0</v>
      </c>
    </row>
    <row r="23" spans="1:6" s="25" customFormat="1" ht="12.75">
      <c r="A23" s="17"/>
      <c r="B23" s="97" t="s">
        <v>113</v>
      </c>
      <c r="C23" s="98" t="s">
        <v>7</v>
      </c>
      <c r="D23" s="99">
        <v>1</v>
      </c>
      <c r="E23" s="226"/>
      <c r="F23" s="95">
        <f t="shared" si="0"/>
        <v>0</v>
      </c>
    </row>
    <row r="24" spans="1:6" s="25" customFormat="1" ht="12.75">
      <c r="A24" s="17"/>
      <c r="B24" s="97" t="s">
        <v>114</v>
      </c>
      <c r="C24" s="98" t="s">
        <v>7</v>
      </c>
      <c r="D24" s="99">
        <v>2</v>
      </c>
      <c r="E24" s="226"/>
      <c r="F24" s="95">
        <f t="shared" si="0"/>
        <v>0</v>
      </c>
    </row>
    <row r="25" spans="1:6" s="25" customFormat="1" ht="12.75">
      <c r="A25" s="17"/>
      <c r="B25" s="97" t="s">
        <v>115</v>
      </c>
      <c r="C25" s="98" t="s">
        <v>7</v>
      </c>
      <c r="D25" s="99">
        <v>1</v>
      </c>
      <c r="E25" s="226"/>
      <c r="F25" s="95">
        <f t="shared" si="0"/>
        <v>0</v>
      </c>
    </row>
    <row r="26" spans="1:6" s="25" customFormat="1" ht="12.75">
      <c r="A26" s="17"/>
      <c r="B26" s="97" t="s">
        <v>116</v>
      </c>
      <c r="C26" s="98" t="s">
        <v>7</v>
      </c>
      <c r="D26" s="99">
        <v>1</v>
      </c>
      <c r="E26" s="226"/>
      <c r="F26" s="95">
        <f t="shared" si="0"/>
        <v>0</v>
      </c>
    </row>
    <row r="27" spans="1:6" s="25" customFormat="1" ht="12.75">
      <c r="A27" s="17"/>
      <c r="B27" s="97" t="s">
        <v>117</v>
      </c>
      <c r="C27" s="98" t="s">
        <v>7</v>
      </c>
      <c r="D27" s="99">
        <v>1</v>
      </c>
      <c r="E27" s="226"/>
      <c r="F27" s="95">
        <f t="shared" si="0"/>
        <v>0</v>
      </c>
    </row>
    <row r="28" spans="1:6" s="25" customFormat="1" ht="12.75">
      <c r="A28" s="17"/>
      <c r="B28" s="97" t="s">
        <v>118</v>
      </c>
      <c r="C28" s="98" t="s">
        <v>7</v>
      </c>
      <c r="D28" s="99">
        <v>5</v>
      </c>
      <c r="E28" s="226"/>
      <c r="F28" s="95">
        <f t="shared" si="0"/>
        <v>0</v>
      </c>
    </row>
    <row r="29" spans="1:6" s="25" customFormat="1" ht="12.75">
      <c r="A29" s="17"/>
      <c r="B29" s="97" t="s">
        <v>119</v>
      </c>
      <c r="C29" s="98" t="s">
        <v>7</v>
      </c>
      <c r="D29" s="99">
        <v>1</v>
      </c>
      <c r="E29" s="226"/>
      <c r="F29" s="95">
        <f t="shared" si="0"/>
        <v>0</v>
      </c>
    </row>
    <row r="30" spans="1:6" s="25" customFormat="1" ht="12.75">
      <c r="A30" s="17"/>
      <c r="B30" s="97" t="s">
        <v>120</v>
      </c>
      <c r="C30" s="98" t="s">
        <v>7</v>
      </c>
      <c r="D30" s="99">
        <v>2</v>
      </c>
      <c r="E30" s="226"/>
      <c r="F30" s="95">
        <f t="shared" si="0"/>
        <v>0</v>
      </c>
    </row>
    <row r="31" spans="1:6" s="25" customFormat="1" ht="12.75">
      <c r="A31" s="17"/>
      <c r="B31" s="103" t="s">
        <v>121</v>
      </c>
      <c r="C31" s="98" t="s">
        <v>7</v>
      </c>
      <c r="D31" s="99">
        <v>1</v>
      </c>
      <c r="E31" s="226"/>
      <c r="F31" s="95">
        <f t="shared" si="0"/>
        <v>0</v>
      </c>
    </row>
    <row r="32" spans="1:6" s="25" customFormat="1" ht="12.75">
      <c r="A32" s="17"/>
      <c r="B32" s="97" t="s">
        <v>122</v>
      </c>
      <c r="C32" s="98" t="s">
        <v>7</v>
      </c>
      <c r="D32" s="99">
        <v>2</v>
      </c>
      <c r="E32" s="226"/>
      <c r="F32" s="95">
        <f t="shared" si="0"/>
        <v>0</v>
      </c>
    </row>
    <row r="33" spans="1:6" s="25" customFormat="1" ht="12.75">
      <c r="A33" s="17"/>
      <c r="B33" s="97" t="s">
        <v>123</v>
      </c>
      <c r="C33" s="98" t="s">
        <v>7</v>
      </c>
      <c r="D33" s="99">
        <v>1</v>
      </c>
      <c r="E33" s="226"/>
      <c r="F33" s="95">
        <f t="shared" si="0"/>
        <v>0</v>
      </c>
    </row>
    <row r="34" spans="1:6" s="25" customFormat="1" ht="12.75">
      <c r="A34" s="17"/>
      <c r="B34" s="97" t="s">
        <v>124</v>
      </c>
      <c r="C34" s="98" t="s">
        <v>7</v>
      </c>
      <c r="D34" s="99">
        <v>1</v>
      </c>
      <c r="E34" s="226"/>
      <c r="F34" s="95">
        <f t="shared" si="0"/>
        <v>0</v>
      </c>
    </row>
    <row r="35" spans="1:6" s="25" customFormat="1" ht="12.75">
      <c r="A35" s="17"/>
      <c r="B35" s="97" t="s">
        <v>125</v>
      </c>
      <c r="C35" s="98" t="s">
        <v>7</v>
      </c>
      <c r="D35" s="99">
        <v>1</v>
      </c>
      <c r="E35" s="226"/>
      <c r="F35" s="95">
        <f t="shared" si="0"/>
        <v>0</v>
      </c>
    </row>
    <row r="36" spans="1:6" s="25" customFormat="1" ht="12.75">
      <c r="A36" s="17"/>
      <c r="B36" s="103" t="s">
        <v>126</v>
      </c>
      <c r="C36" s="98" t="s">
        <v>7</v>
      </c>
      <c r="D36" s="99">
        <v>1</v>
      </c>
      <c r="E36" s="226"/>
      <c r="F36" s="95">
        <f t="shared" si="0"/>
        <v>0</v>
      </c>
    </row>
    <row r="37" spans="1:6" s="25" customFormat="1" ht="12.75">
      <c r="A37" s="17"/>
      <c r="B37" s="97" t="s">
        <v>127</v>
      </c>
      <c r="C37" s="98" t="s">
        <v>7</v>
      </c>
      <c r="D37" s="99">
        <v>2</v>
      </c>
      <c r="E37" s="226"/>
      <c r="F37" s="95">
        <f t="shared" si="0"/>
        <v>0</v>
      </c>
    </row>
    <row r="38" spans="1:6" s="25" customFormat="1" ht="12.75">
      <c r="A38" s="17"/>
      <c r="B38" s="97" t="s">
        <v>128</v>
      </c>
      <c r="C38" s="98" t="s">
        <v>7</v>
      </c>
      <c r="D38" s="99">
        <v>1</v>
      </c>
      <c r="E38" s="226"/>
      <c r="F38" s="95">
        <f t="shared" si="0"/>
        <v>0</v>
      </c>
    </row>
    <row r="39" spans="1:6" s="25" customFormat="1" ht="12.75">
      <c r="A39" s="17"/>
      <c r="B39" s="97" t="s">
        <v>129</v>
      </c>
      <c r="C39" s="98" t="s">
        <v>7</v>
      </c>
      <c r="D39" s="99">
        <v>1</v>
      </c>
      <c r="E39" s="226"/>
      <c r="F39" s="95">
        <f t="shared" si="0"/>
        <v>0</v>
      </c>
    </row>
    <row r="40" spans="1:6" s="25" customFormat="1" ht="12.75">
      <c r="A40" s="17"/>
      <c r="B40" s="97" t="s">
        <v>130</v>
      </c>
      <c r="C40" s="98" t="s">
        <v>7</v>
      </c>
      <c r="D40" s="99">
        <v>1</v>
      </c>
      <c r="E40" s="226"/>
      <c r="F40" s="95">
        <f t="shared" si="0"/>
        <v>0</v>
      </c>
    </row>
    <row r="41" spans="1:6" s="25" customFormat="1" ht="12.75">
      <c r="A41" s="17"/>
      <c r="B41" s="97" t="s">
        <v>131</v>
      </c>
      <c r="C41" s="98" t="s">
        <v>7</v>
      </c>
      <c r="D41" s="99">
        <v>1</v>
      </c>
      <c r="E41" s="226"/>
      <c r="F41" s="95">
        <f t="shared" si="0"/>
        <v>0</v>
      </c>
    </row>
    <row r="42" spans="1:6" s="25" customFormat="1" ht="12.75">
      <c r="A42" s="17"/>
      <c r="B42" s="97" t="s">
        <v>132</v>
      </c>
      <c r="C42" s="98" t="s">
        <v>7</v>
      </c>
      <c r="D42" s="99">
        <v>1</v>
      </c>
      <c r="E42" s="226"/>
      <c r="F42" s="95">
        <f t="shared" si="0"/>
        <v>0</v>
      </c>
    </row>
    <row r="43" spans="1:6" s="25" customFormat="1" ht="12.75">
      <c r="A43" s="17"/>
      <c r="B43" s="97" t="s">
        <v>133</v>
      </c>
      <c r="C43" s="98" t="s">
        <v>7</v>
      </c>
      <c r="D43" s="99">
        <v>1</v>
      </c>
      <c r="E43" s="226"/>
      <c r="F43" s="95">
        <f t="shared" si="0"/>
        <v>0</v>
      </c>
    </row>
    <row r="44" spans="1:6" s="25" customFormat="1" ht="12.75">
      <c r="A44" s="17"/>
      <c r="B44" s="103" t="s">
        <v>134</v>
      </c>
      <c r="C44" s="98" t="s">
        <v>7</v>
      </c>
      <c r="D44" s="99">
        <v>2</v>
      </c>
      <c r="E44" s="226"/>
      <c r="F44" s="95">
        <f t="shared" si="0"/>
        <v>0</v>
      </c>
    </row>
    <row r="45" spans="1:6" s="25" customFormat="1" ht="12.75">
      <c r="A45" s="17"/>
      <c r="B45" s="97" t="s">
        <v>135</v>
      </c>
      <c r="C45" s="98" t="s">
        <v>7</v>
      </c>
      <c r="D45" s="99">
        <v>1</v>
      </c>
      <c r="E45" s="226"/>
      <c r="F45" s="95">
        <f t="shared" si="0"/>
        <v>0</v>
      </c>
    </row>
    <row r="46" spans="1:6" s="25" customFormat="1" ht="12.75">
      <c r="A46" s="17"/>
      <c r="B46" s="97" t="s">
        <v>136</v>
      </c>
      <c r="C46" s="98" t="s">
        <v>7</v>
      </c>
      <c r="D46" s="99">
        <v>1</v>
      </c>
      <c r="E46" s="226"/>
      <c r="F46" s="95">
        <f t="shared" si="0"/>
        <v>0</v>
      </c>
    </row>
    <row r="47" spans="1:6" s="25" customFormat="1" ht="12.75">
      <c r="A47" s="17"/>
      <c r="B47" s="97" t="s">
        <v>137</v>
      </c>
      <c r="C47" s="98" t="s">
        <v>7</v>
      </c>
      <c r="D47" s="99">
        <v>2</v>
      </c>
      <c r="E47" s="226"/>
      <c r="F47" s="95">
        <f t="shared" si="0"/>
        <v>0</v>
      </c>
    </row>
    <row r="48" spans="1:6" s="25" customFormat="1" ht="12.75">
      <c r="A48" s="17"/>
      <c r="B48" s="97" t="s">
        <v>138</v>
      </c>
      <c r="C48" s="98" t="s">
        <v>7</v>
      </c>
      <c r="D48" s="99">
        <v>3</v>
      </c>
      <c r="E48" s="226"/>
      <c r="F48" s="95">
        <f t="shared" si="0"/>
        <v>0</v>
      </c>
    </row>
    <row r="49" spans="1:6" s="25" customFormat="1" ht="12.75">
      <c r="A49" s="17"/>
      <c r="B49" s="97" t="s">
        <v>139</v>
      </c>
      <c r="C49" s="98" t="s">
        <v>7</v>
      </c>
      <c r="D49" s="99">
        <f>1+2</f>
        <v>3</v>
      </c>
      <c r="E49" s="226"/>
      <c r="F49" s="95">
        <f t="shared" si="0"/>
        <v>0</v>
      </c>
    </row>
    <row r="50" spans="1:6" s="25" customFormat="1" ht="12.75">
      <c r="A50" s="17"/>
      <c r="B50" s="97" t="s">
        <v>140</v>
      </c>
      <c r="C50" s="98" t="s">
        <v>7</v>
      </c>
      <c r="D50" s="99">
        <v>1</v>
      </c>
      <c r="E50" s="226"/>
      <c r="F50" s="95">
        <f t="shared" si="0"/>
        <v>0</v>
      </c>
    </row>
    <row r="51" spans="1:6" s="25" customFormat="1" ht="12.75">
      <c r="A51" s="17"/>
      <c r="B51" s="97" t="s">
        <v>141</v>
      </c>
      <c r="C51" s="98" t="s">
        <v>7</v>
      </c>
      <c r="D51" s="99">
        <v>1</v>
      </c>
      <c r="E51" s="226"/>
      <c r="F51" s="95">
        <f t="shared" si="0"/>
        <v>0</v>
      </c>
    </row>
    <row r="52" spans="1:6" s="25" customFormat="1" ht="12.75">
      <c r="A52" s="17"/>
      <c r="B52" s="97" t="s">
        <v>142</v>
      </c>
      <c r="C52" s="98" t="s">
        <v>7</v>
      </c>
      <c r="D52" s="99">
        <v>1</v>
      </c>
      <c r="E52" s="226"/>
      <c r="F52" s="95">
        <f t="shared" si="0"/>
        <v>0</v>
      </c>
    </row>
    <row r="53" spans="1:6" s="25" customFormat="1" ht="12.75">
      <c r="A53" s="17"/>
      <c r="B53" s="103" t="s">
        <v>143</v>
      </c>
      <c r="C53" s="98" t="s">
        <v>7</v>
      </c>
      <c r="D53" s="99">
        <v>1</v>
      </c>
      <c r="E53" s="226"/>
      <c r="F53" s="95">
        <f t="shared" si="0"/>
        <v>0</v>
      </c>
    </row>
    <row r="54" spans="1:6" s="25" customFormat="1" ht="12.75">
      <c r="A54" s="17"/>
      <c r="B54" s="97" t="s">
        <v>144</v>
      </c>
      <c r="C54" s="98" t="s">
        <v>7</v>
      </c>
      <c r="D54" s="99">
        <v>1</v>
      </c>
      <c r="E54" s="226"/>
      <c r="F54" s="95">
        <f t="shared" si="0"/>
        <v>0</v>
      </c>
    </row>
    <row r="55" spans="1:6" s="25" customFormat="1" ht="12.75">
      <c r="A55" s="17"/>
      <c r="B55" s="97" t="s">
        <v>145</v>
      </c>
      <c r="C55" s="98" t="s">
        <v>7</v>
      </c>
      <c r="D55" s="99">
        <v>1</v>
      </c>
      <c r="E55" s="226"/>
      <c r="F55" s="95">
        <f t="shared" si="0"/>
        <v>0</v>
      </c>
    </row>
    <row r="56" spans="1:6" s="25" customFormat="1" ht="12.75">
      <c r="A56" s="17"/>
      <c r="B56" s="97" t="s">
        <v>146</v>
      </c>
      <c r="C56" s="98" t="s">
        <v>7</v>
      </c>
      <c r="D56" s="99">
        <v>1</v>
      </c>
      <c r="E56" s="226"/>
      <c r="F56" s="95">
        <f t="shared" si="0"/>
        <v>0</v>
      </c>
    </row>
    <row r="57" spans="1:6" s="25" customFormat="1" ht="12.75">
      <c r="A57" s="17"/>
      <c r="B57" s="97" t="s">
        <v>147</v>
      </c>
      <c r="C57" s="98" t="s">
        <v>7</v>
      </c>
      <c r="D57" s="99">
        <v>1</v>
      </c>
      <c r="E57" s="226"/>
      <c r="F57" s="95">
        <f t="shared" si="0"/>
        <v>0</v>
      </c>
    </row>
    <row r="58" spans="1:6" s="25" customFormat="1" ht="12.75">
      <c r="A58" s="17"/>
      <c r="B58" s="97" t="s">
        <v>148</v>
      </c>
      <c r="C58" s="98" t="s">
        <v>7</v>
      </c>
      <c r="D58" s="99">
        <v>1</v>
      </c>
      <c r="E58" s="226"/>
      <c r="F58" s="95">
        <f t="shared" si="0"/>
        <v>0</v>
      </c>
    </row>
    <row r="59" spans="1:6" s="25" customFormat="1" ht="12.75">
      <c r="A59" s="17"/>
      <c r="B59" s="97" t="s">
        <v>149</v>
      </c>
      <c r="C59" s="98" t="s">
        <v>7</v>
      </c>
      <c r="D59" s="99">
        <v>1</v>
      </c>
      <c r="E59" s="226"/>
      <c r="F59" s="95">
        <f t="shared" si="0"/>
        <v>0</v>
      </c>
    </row>
    <row r="60" spans="1:6" s="25" customFormat="1" ht="12.75">
      <c r="A60" s="17"/>
      <c r="B60" s="97" t="s">
        <v>150</v>
      </c>
      <c r="C60" s="98" t="s">
        <v>7</v>
      </c>
      <c r="D60" s="99">
        <v>2</v>
      </c>
      <c r="E60" s="226"/>
      <c r="F60" s="95">
        <f t="shared" si="0"/>
        <v>0</v>
      </c>
    </row>
    <row r="61" spans="1:6" s="25" customFormat="1" ht="12.75">
      <c r="A61" s="17"/>
      <c r="B61" s="97" t="s">
        <v>103</v>
      </c>
      <c r="C61" s="98" t="s">
        <v>7</v>
      </c>
      <c r="D61" s="99">
        <v>4</v>
      </c>
      <c r="E61" s="226"/>
      <c r="F61" s="95">
        <f t="shared" si="0"/>
        <v>0</v>
      </c>
    </row>
    <row r="62" spans="1:6" s="25" customFormat="1" ht="12.75">
      <c r="A62" s="17"/>
      <c r="B62" s="97" t="s">
        <v>151</v>
      </c>
      <c r="C62" s="98" t="s">
        <v>7</v>
      </c>
      <c r="D62" s="99">
        <v>1</v>
      </c>
      <c r="E62" s="226"/>
      <c r="F62" s="95">
        <f t="shared" si="0"/>
        <v>0</v>
      </c>
    </row>
    <row r="63" spans="1:6" s="25" customFormat="1" ht="12.75">
      <c r="A63" s="17"/>
      <c r="B63" s="97" t="s">
        <v>152</v>
      </c>
      <c r="C63" s="98" t="s">
        <v>7</v>
      </c>
      <c r="D63" s="99">
        <v>1</v>
      </c>
      <c r="E63" s="226"/>
      <c r="F63" s="95">
        <f t="shared" si="0"/>
        <v>0</v>
      </c>
    </row>
    <row r="64" spans="1:6" s="25" customFormat="1" ht="12.75">
      <c r="A64" s="17"/>
      <c r="B64" s="103" t="s">
        <v>153</v>
      </c>
      <c r="C64" s="98" t="s">
        <v>7</v>
      </c>
      <c r="D64" s="99">
        <v>1</v>
      </c>
      <c r="E64" s="226"/>
      <c r="F64" s="95">
        <f t="shared" si="0"/>
        <v>0</v>
      </c>
    </row>
    <row r="65" spans="1:6" s="25" customFormat="1" ht="12.75">
      <c r="A65" s="17"/>
      <c r="B65" s="97" t="s">
        <v>154</v>
      </c>
      <c r="C65" s="98" t="s">
        <v>7</v>
      </c>
      <c r="D65" s="99">
        <v>1</v>
      </c>
      <c r="E65" s="226"/>
      <c r="F65" s="95">
        <f t="shared" si="0"/>
        <v>0</v>
      </c>
    </row>
    <row r="66" spans="1:6" s="25" customFormat="1" ht="12.75">
      <c r="A66" s="17"/>
      <c r="B66" s="97" t="s">
        <v>155</v>
      </c>
      <c r="C66" s="98" t="s">
        <v>7</v>
      </c>
      <c r="D66" s="99">
        <v>1</v>
      </c>
      <c r="E66" s="226"/>
      <c r="F66" s="95">
        <f t="shared" si="0"/>
        <v>0</v>
      </c>
    </row>
    <row r="67" spans="1:6" s="25" customFormat="1" ht="12.75">
      <c r="A67" s="17"/>
      <c r="B67" s="97" t="s">
        <v>124</v>
      </c>
      <c r="C67" s="98" t="s">
        <v>7</v>
      </c>
      <c r="D67" s="99">
        <v>1</v>
      </c>
      <c r="E67" s="226"/>
      <c r="F67" s="95">
        <f t="shared" si="0"/>
        <v>0</v>
      </c>
    </row>
    <row r="68" spans="1:6" s="25" customFormat="1" ht="12.75">
      <c r="A68" s="17"/>
      <c r="B68" s="97" t="s">
        <v>156</v>
      </c>
      <c r="C68" s="98" t="s">
        <v>7</v>
      </c>
      <c r="D68" s="99">
        <v>2</v>
      </c>
      <c r="E68" s="226"/>
      <c r="F68" s="95">
        <f t="shared" si="0"/>
        <v>0</v>
      </c>
    </row>
    <row r="69" spans="1:6" s="25" customFormat="1" ht="12.75">
      <c r="A69" s="17"/>
      <c r="B69" s="97" t="s">
        <v>157</v>
      </c>
      <c r="C69" s="98" t="s">
        <v>7</v>
      </c>
      <c r="D69" s="99">
        <v>1</v>
      </c>
      <c r="E69" s="226"/>
      <c r="F69" s="95">
        <f aca="true" t="shared" si="1" ref="F69:F79">+E69*D69</f>
        <v>0</v>
      </c>
    </row>
    <row r="70" spans="1:6" s="25" customFormat="1" ht="12.75">
      <c r="A70" s="17"/>
      <c r="B70" s="97" t="s">
        <v>151</v>
      </c>
      <c r="C70" s="98" t="s">
        <v>7</v>
      </c>
      <c r="D70" s="99">
        <v>2</v>
      </c>
      <c r="E70" s="226"/>
      <c r="F70" s="95">
        <f t="shared" si="1"/>
        <v>0</v>
      </c>
    </row>
    <row r="71" spans="1:6" s="25" customFormat="1" ht="12.75">
      <c r="A71" s="17"/>
      <c r="B71" s="103" t="s">
        <v>158</v>
      </c>
      <c r="C71" s="98" t="s">
        <v>7</v>
      </c>
      <c r="D71" s="99">
        <v>1</v>
      </c>
      <c r="E71" s="226"/>
      <c r="F71" s="95">
        <f t="shared" si="1"/>
        <v>0</v>
      </c>
    </row>
    <row r="72" spans="1:6" s="25" customFormat="1" ht="12.75">
      <c r="A72" s="17"/>
      <c r="B72" s="97" t="s">
        <v>159</v>
      </c>
      <c r="C72" s="98" t="s">
        <v>7</v>
      </c>
      <c r="D72" s="99">
        <v>1</v>
      </c>
      <c r="E72" s="226"/>
      <c r="F72" s="95">
        <f t="shared" si="1"/>
        <v>0</v>
      </c>
    </row>
    <row r="73" spans="1:6" s="25" customFormat="1" ht="12.75">
      <c r="A73" s="17"/>
      <c r="B73" s="97" t="s">
        <v>160</v>
      </c>
      <c r="C73" s="98" t="s">
        <v>7</v>
      </c>
      <c r="D73" s="99">
        <v>1</v>
      </c>
      <c r="E73" s="226"/>
      <c r="F73" s="95">
        <f t="shared" si="1"/>
        <v>0</v>
      </c>
    </row>
    <row r="74" spans="1:6" s="25" customFormat="1" ht="12.75">
      <c r="A74" s="17"/>
      <c r="B74" s="97" t="s">
        <v>161</v>
      </c>
      <c r="C74" s="98" t="s">
        <v>7</v>
      </c>
      <c r="D74" s="99">
        <v>2</v>
      </c>
      <c r="E74" s="226"/>
      <c r="F74" s="95">
        <f t="shared" si="1"/>
        <v>0</v>
      </c>
    </row>
    <row r="75" spans="1:6" s="25" customFormat="1" ht="12.75">
      <c r="A75" s="17"/>
      <c r="B75" s="97" t="s">
        <v>162</v>
      </c>
      <c r="C75" s="98" t="s">
        <v>7</v>
      </c>
      <c r="D75" s="99">
        <v>1</v>
      </c>
      <c r="E75" s="226"/>
      <c r="F75" s="95">
        <f t="shared" si="1"/>
        <v>0</v>
      </c>
    </row>
    <row r="76" spans="1:6" s="25" customFormat="1" ht="12.75">
      <c r="A76" s="17"/>
      <c r="B76" s="97" t="s">
        <v>163</v>
      </c>
      <c r="C76" s="98" t="s">
        <v>7</v>
      </c>
      <c r="D76" s="99">
        <v>1</v>
      </c>
      <c r="E76" s="226"/>
      <c r="F76" s="95">
        <f t="shared" si="1"/>
        <v>0</v>
      </c>
    </row>
    <row r="77" spans="1:6" s="25" customFormat="1" ht="12.75">
      <c r="A77" s="17"/>
      <c r="B77" s="97" t="s">
        <v>164</v>
      </c>
      <c r="C77" s="98" t="s">
        <v>7</v>
      </c>
      <c r="D77" s="99">
        <v>1</v>
      </c>
      <c r="E77" s="226"/>
      <c r="F77" s="95">
        <f t="shared" si="1"/>
        <v>0</v>
      </c>
    </row>
    <row r="78" spans="1:6" s="25" customFormat="1" ht="12.75">
      <c r="A78" s="17"/>
      <c r="B78" s="97" t="s">
        <v>165</v>
      </c>
      <c r="C78" s="98" t="s">
        <v>7</v>
      </c>
      <c r="D78" s="99">
        <v>1</v>
      </c>
      <c r="E78" s="226"/>
      <c r="F78" s="95">
        <f t="shared" si="1"/>
        <v>0</v>
      </c>
    </row>
    <row r="79" spans="1:6" s="25" customFormat="1" ht="12.75">
      <c r="A79" s="17"/>
      <c r="B79" s="97" t="s">
        <v>181</v>
      </c>
      <c r="C79" s="98" t="s">
        <v>7</v>
      </c>
      <c r="D79" s="99">
        <v>2</v>
      </c>
      <c r="E79" s="226"/>
      <c r="F79" s="95">
        <f t="shared" si="1"/>
        <v>0</v>
      </c>
    </row>
    <row r="80" spans="1:6" s="25" customFormat="1" ht="12.75">
      <c r="A80" s="17"/>
      <c r="B80" s="97"/>
      <c r="C80" s="98"/>
      <c r="D80" s="99"/>
      <c r="E80" s="225"/>
      <c r="F80" s="95"/>
    </row>
    <row r="81" spans="1:6" s="25" customFormat="1" ht="78">
      <c r="A81" s="104">
        <v>2</v>
      </c>
      <c r="B81" s="92" t="s">
        <v>182</v>
      </c>
      <c r="C81" s="98"/>
      <c r="D81" s="99"/>
      <c r="E81" s="225"/>
      <c r="F81" s="95"/>
    </row>
    <row r="82" spans="1:6" s="25" customFormat="1" ht="12.75">
      <c r="A82" s="104"/>
      <c r="B82" s="97" t="s">
        <v>183</v>
      </c>
      <c r="C82" s="98" t="s">
        <v>7</v>
      </c>
      <c r="D82" s="99">
        <v>1</v>
      </c>
      <c r="E82" s="225"/>
      <c r="F82" s="95">
        <f>+E82*D82</f>
        <v>0</v>
      </c>
    </row>
    <row r="83" spans="1:6" s="25" customFormat="1" ht="12.75">
      <c r="A83" s="104"/>
      <c r="B83" s="97" t="s">
        <v>184</v>
      </c>
      <c r="C83" s="98" t="s">
        <v>7</v>
      </c>
      <c r="D83" s="99">
        <v>1</v>
      </c>
      <c r="E83" s="225"/>
      <c r="F83" s="95">
        <f>+E83*D83</f>
        <v>0</v>
      </c>
    </row>
    <row r="84" spans="1:6" s="25" customFormat="1" ht="12.75">
      <c r="A84" s="104"/>
      <c r="B84" s="97" t="s">
        <v>185</v>
      </c>
      <c r="C84" s="98" t="s">
        <v>7</v>
      </c>
      <c r="D84" s="99">
        <v>1</v>
      </c>
      <c r="E84" s="225"/>
      <c r="F84" s="95">
        <f>+E84*D84</f>
        <v>0</v>
      </c>
    </row>
    <row r="85" spans="1:6" ht="13.5">
      <c r="A85" s="104"/>
      <c r="B85" s="97" t="s">
        <v>186</v>
      </c>
      <c r="C85" s="98" t="s">
        <v>7</v>
      </c>
      <c r="D85" s="99">
        <v>1</v>
      </c>
      <c r="E85" s="225"/>
      <c r="F85" s="95">
        <f>+E85*D85</f>
        <v>0</v>
      </c>
    </row>
    <row r="86" spans="1:6" ht="13.5">
      <c r="A86" s="104"/>
      <c r="B86" s="97" t="s">
        <v>187</v>
      </c>
      <c r="C86" s="98" t="s">
        <v>7</v>
      </c>
      <c r="D86" s="99">
        <v>2</v>
      </c>
      <c r="E86" s="225"/>
      <c r="F86" s="95">
        <f>+E86*D86</f>
        <v>0</v>
      </c>
    </row>
    <row r="87" spans="1:6" ht="13.5">
      <c r="A87" s="104"/>
      <c r="B87" s="92"/>
      <c r="C87" s="98"/>
      <c r="D87" s="99"/>
      <c r="E87" s="225"/>
      <c r="F87" s="95"/>
    </row>
    <row r="88" spans="1:6" ht="25.5">
      <c r="A88" s="104">
        <v>3</v>
      </c>
      <c r="B88" s="92" t="s">
        <v>15</v>
      </c>
      <c r="C88" s="98" t="s">
        <v>16</v>
      </c>
      <c r="D88" s="105">
        <v>58.6</v>
      </c>
      <c r="E88" s="225"/>
      <c r="F88" s="95">
        <f>D88*E88</f>
        <v>0</v>
      </c>
    </row>
    <row r="89" spans="1:6" ht="13.5">
      <c r="A89" s="104"/>
      <c r="B89" s="106"/>
      <c r="C89" s="107"/>
      <c r="D89" s="108"/>
      <c r="E89" s="225"/>
      <c r="F89" s="95"/>
    </row>
    <row r="90" spans="1:7" ht="78">
      <c r="A90" s="104">
        <v>4</v>
      </c>
      <c r="B90" s="109" t="s">
        <v>176</v>
      </c>
      <c r="C90" s="110" t="s">
        <v>16</v>
      </c>
      <c r="D90" s="111">
        <v>727.2</v>
      </c>
      <c r="E90" s="227"/>
      <c r="F90" s="112">
        <f>+D90*E90</f>
        <v>0</v>
      </c>
      <c r="G90" s="46"/>
    </row>
    <row r="91" spans="1:6" ht="13.5">
      <c r="A91" s="448"/>
      <c r="B91" s="449"/>
      <c r="C91" s="55"/>
      <c r="D91" s="450"/>
      <c r="E91" s="42"/>
      <c r="F91" s="452"/>
    </row>
    <row r="92" spans="1:6" s="25" customFormat="1" ht="13.5" thickBot="1">
      <c r="A92" s="451"/>
      <c r="B92" s="445" t="s">
        <v>177</v>
      </c>
      <c r="C92" s="446"/>
      <c r="D92" s="446"/>
      <c r="E92" s="447"/>
      <c r="F92" s="453">
        <f>SUM(F5:F90)</f>
        <v>0</v>
      </c>
    </row>
    <row r="94" spans="1:6" ht="13.5">
      <c r="A94" s="15"/>
      <c r="B94" s="44"/>
      <c r="C94" s="40"/>
      <c r="D94" s="45"/>
      <c r="E94" s="47"/>
      <c r="F94" s="47"/>
    </row>
  </sheetData>
  <sheetProtection password="9234" sheet="1" objects="1" scenarios="1"/>
  <mergeCells count="1">
    <mergeCell ref="B1:F1"/>
  </mergeCells>
  <printOptions/>
  <pageMargins left="0.7500000000000001" right="0.7500000000000001" top="1.2600000000000002" bottom="1" header="0.5" footer="0.5"/>
  <pageSetup fitToHeight="0" fitToWidth="1" orientation="portrait" paperSize="9" scale="85"/>
  <headerFooter alignWithMargins="0">
    <oddHeader>&amp;C&amp;"Calibri,Bold"&amp;K000000PREDRAČUN: ENERGETSKA SANACIJA DOM NA VIDMU&amp;"Calibri,Regular"
</oddHeader>
    <oddFooter>&amp;LProjektantski predračun&amp;R&amp;P/&amp;N</oddFooter>
  </headerFooter>
  <ignoredErrors>
    <ignoredError sqref="F92" emptyCellReference="1"/>
    <ignoredError sqref="A1"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P79"/>
  <sheetViews>
    <sheetView showGridLines="0" workbookViewId="0" topLeftCell="A65">
      <selection activeCell="E43" sqref="E43:E64"/>
    </sheetView>
  </sheetViews>
  <sheetFormatPr defaultColWidth="9.140625" defaultRowHeight="15"/>
  <cols>
    <col min="1" max="1" width="6.28125" style="33" customWidth="1"/>
    <col min="2" max="2" width="38.8515625" style="16" customWidth="1"/>
    <col min="3" max="3" width="8.8515625" style="37" customWidth="1"/>
    <col min="4" max="4" width="9.421875" style="38" customWidth="1"/>
    <col min="5" max="5" width="12.140625" style="16" customWidth="1"/>
    <col min="6" max="6" width="17.421875" style="16" customWidth="1"/>
    <col min="7" max="7" width="9.140625" style="16" customWidth="1"/>
    <col min="8" max="8" width="11.140625" style="16" customWidth="1"/>
    <col min="9" max="16384" width="9.140625" style="16" customWidth="1"/>
  </cols>
  <sheetData>
    <row r="1" spans="1:9" ht="13.5">
      <c r="A1" s="437" t="s">
        <v>17</v>
      </c>
      <c r="B1" s="667" t="s">
        <v>14</v>
      </c>
      <c r="C1" s="668"/>
      <c r="D1" s="668"/>
      <c r="E1" s="668"/>
      <c r="F1" s="669"/>
      <c r="G1" s="18"/>
      <c r="H1" s="61"/>
      <c r="I1" s="18"/>
    </row>
    <row r="2" spans="1:6" s="238" customFormat="1" ht="13.5">
      <c r="A2" s="430"/>
      <c r="B2" s="431"/>
      <c r="C2" s="431"/>
      <c r="D2" s="432"/>
      <c r="E2" s="431"/>
      <c r="F2" s="433"/>
    </row>
    <row r="3" spans="1:6" ht="13.5">
      <c r="A3" s="441" t="s">
        <v>0</v>
      </c>
      <c r="B3" s="442" t="s">
        <v>1</v>
      </c>
      <c r="C3" s="441" t="s">
        <v>266</v>
      </c>
      <c r="D3" s="443" t="s">
        <v>2</v>
      </c>
      <c r="E3" s="49" t="s">
        <v>3</v>
      </c>
      <c r="F3" s="49" t="s">
        <v>267</v>
      </c>
    </row>
    <row r="4" spans="1:16" ht="13.5">
      <c r="A4" s="104"/>
      <c r="B4" s="444"/>
      <c r="C4" s="98"/>
      <c r="D4" s="105"/>
      <c r="E4" s="95"/>
      <c r="F4" s="95"/>
      <c r="G4" s="43"/>
      <c r="H4" s="41"/>
      <c r="I4" s="41"/>
      <c r="J4" s="39"/>
      <c r="K4" s="37"/>
      <c r="P4" s="89"/>
    </row>
    <row r="5" spans="1:6" s="25" customFormat="1" ht="12.75">
      <c r="A5" s="154"/>
      <c r="B5" s="455" t="s">
        <v>68</v>
      </c>
      <c r="C5" s="152"/>
      <c r="D5" s="456"/>
      <c r="E5" s="155"/>
      <c r="F5" s="155"/>
    </row>
    <row r="6" spans="1:6" s="25" customFormat="1" ht="12.75">
      <c r="A6" s="154"/>
      <c r="B6" s="455"/>
      <c r="C6" s="152"/>
      <c r="D6" s="456"/>
      <c r="E6" s="155"/>
      <c r="F6" s="155"/>
    </row>
    <row r="7" spans="1:6" ht="24" customHeight="1">
      <c r="A7" s="154"/>
      <c r="B7" s="670" t="s">
        <v>61</v>
      </c>
      <c r="C7" s="671"/>
      <c r="D7" s="671"/>
      <c r="E7" s="671"/>
      <c r="F7" s="671"/>
    </row>
    <row r="8" spans="1:6" ht="13.5">
      <c r="A8" s="154"/>
      <c r="B8" s="672" t="s">
        <v>62</v>
      </c>
      <c r="C8" s="673"/>
      <c r="D8" s="674"/>
      <c r="E8" s="674"/>
      <c r="F8" s="674"/>
    </row>
    <row r="9" spans="1:6" ht="13.5">
      <c r="A9" s="154"/>
      <c r="B9" s="145"/>
      <c r="C9" s="151"/>
      <c r="D9" s="152"/>
      <c r="E9" s="155"/>
      <c r="F9" s="155"/>
    </row>
    <row r="10" spans="1:6" ht="78">
      <c r="A10" s="154">
        <v>1</v>
      </c>
      <c r="B10" s="145" t="s">
        <v>63</v>
      </c>
      <c r="C10" s="151" t="s">
        <v>5</v>
      </c>
      <c r="D10" s="152">
        <v>2336</v>
      </c>
      <c r="E10" s="214"/>
      <c r="F10" s="87">
        <f>E10*D10</f>
        <v>0</v>
      </c>
    </row>
    <row r="11" spans="1:6" ht="13.5">
      <c r="A11" s="154"/>
      <c r="B11" s="145"/>
      <c r="C11" s="151"/>
      <c r="D11" s="152"/>
      <c r="E11" s="214"/>
      <c r="F11" s="87"/>
    </row>
    <row r="12" spans="1:6" ht="78">
      <c r="A12" s="154">
        <v>2</v>
      </c>
      <c r="B12" s="145" t="s">
        <v>64</v>
      </c>
      <c r="C12" s="151" t="s">
        <v>5</v>
      </c>
      <c r="D12" s="152">
        <v>110</v>
      </c>
      <c r="E12" s="214"/>
      <c r="F12" s="87">
        <f>E12*D12</f>
        <v>0</v>
      </c>
    </row>
    <row r="13" spans="1:6" ht="13.5">
      <c r="A13" s="154"/>
      <c r="B13" s="145"/>
      <c r="C13" s="151"/>
      <c r="D13" s="152"/>
      <c r="E13" s="214"/>
      <c r="F13" s="87"/>
    </row>
    <row r="14" spans="1:6" ht="90.75">
      <c r="A14" s="154">
        <v>3</v>
      </c>
      <c r="B14" s="145" t="s">
        <v>65</v>
      </c>
      <c r="C14" s="151" t="s">
        <v>5</v>
      </c>
      <c r="D14" s="152">
        <v>124.3</v>
      </c>
      <c r="E14" s="214"/>
      <c r="F14" s="87">
        <f>E14*D14</f>
        <v>0</v>
      </c>
    </row>
    <row r="15" spans="1:6" ht="13.5">
      <c r="A15" s="154"/>
      <c r="B15" s="145"/>
      <c r="C15" s="151"/>
      <c r="D15" s="152"/>
      <c r="E15" s="214"/>
      <c r="F15" s="87"/>
    </row>
    <row r="16" spans="1:6" ht="78">
      <c r="A16" s="154">
        <v>4</v>
      </c>
      <c r="B16" s="145" t="s">
        <v>66</v>
      </c>
      <c r="C16" s="151" t="s">
        <v>16</v>
      </c>
      <c r="D16" s="152">
        <v>1413.708</v>
      </c>
      <c r="E16" s="234"/>
      <c r="F16" s="156">
        <f>E16*D16</f>
        <v>0</v>
      </c>
    </row>
    <row r="17" spans="1:6" ht="13.5">
      <c r="A17" s="154"/>
      <c r="B17" s="145"/>
      <c r="C17" s="151"/>
      <c r="D17" s="152"/>
      <c r="E17" s="214"/>
      <c r="F17" s="87"/>
    </row>
    <row r="18" spans="1:6" ht="117">
      <c r="A18" s="154">
        <v>5</v>
      </c>
      <c r="B18" s="157" t="s">
        <v>67</v>
      </c>
      <c r="C18" s="85" t="s">
        <v>5</v>
      </c>
      <c r="D18" s="101">
        <f>683*0.9*0.4</f>
        <v>245.88000000000002</v>
      </c>
      <c r="E18" s="223"/>
      <c r="F18" s="150">
        <f>+E18*D18</f>
        <v>0</v>
      </c>
    </row>
    <row r="19" spans="1:6" ht="13.5">
      <c r="A19" s="154"/>
      <c r="B19" s="145"/>
      <c r="C19" s="151"/>
      <c r="D19" s="152"/>
      <c r="E19" s="214"/>
      <c r="F19" s="87"/>
    </row>
    <row r="20" spans="1:6" ht="13.5">
      <c r="A20" s="457"/>
      <c r="B20" s="455" t="str">
        <f>+B5</f>
        <v>I. RUŠITVENA DELA</v>
      </c>
      <c r="C20" s="458"/>
      <c r="D20" s="459"/>
      <c r="E20" s="460"/>
      <c r="F20" s="461">
        <f>SUM(F10:F19)</f>
        <v>0</v>
      </c>
    </row>
    <row r="21" ht="13.5">
      <c r="E21" s="235"/>
    </row>
    <row r="22" spans="1:6" ht="13.5">
      <c r="A22" s="83"/>
      <c r="B22" s="462" t="s">
        <v>75</v>
      </c>
      <c r="C22" s="463"/>
      <c r="D22" s="111"/>
      <c r="E22" s="227"/>
      <c r="F22" s="464"/>
    </row>
    <row r="23" spans="1:6" ht="13.5">
      <c r="A23" s="83"/>
      <c r="B23" s="160"/>
      <c r="C23" s="110"/>
      <c r="D23" s="111"/>
      <c r="E23" s="465"/>
      <c r="F23" s="466"/>
    </row>
    <row r="24" spans="1:6" ht="78">
      <c r="A24" s="83">
        <v>1</v>
      </c>
      <c r="B24" s="109" t="s">
        <v>69</v>
      </c>
      <c r="C24" s="158" t="s">
        <v>5</v>
      </c>
      <c r="D24" s="159">
        <v>193</v>
      </c>
      <c r="E24" s="227"/>
      <c r="F24" s="88">
        <f>+E24*D24</f>
        <v>0</v>
      </c>
    </row>
    <row r="25" spans="1:6" ht="13.5">
      <c r="A25" s="83"/>
      <c r="B25" s="160"/>
      <c r="C25" s="85"/>
      <c r="D25" s="159"/>
      <c r="E25" s="236"/>
      <c r="F25" s="161"/>
    </row>
    <row r="26" spans="1:6" ht="78">
      <c r="A26" s="83">
        <v>2</v>
      </c>
      <c r="B26" s="162" t="s">
        <v>70</v>
      </c>
      <c r="C26" s="158" t="s">
        <v>5</v>
      </c>
      <c r="D26" s="159">
        <f>+D24</f>
        <v>193</v>
      </c>
      <c r="E26" s="227"/>
      <c r="F26" s="88">
        <f>+E26*D26</f>
        <v>0</v>
      </c>
    </row>
    <row r="27" spans="1:6" ht="13.5">
      <c r="A27" s="83"/>
      <c r="B27" s="160"/>
      <c r="C27" s="85"/>
      <c r="D27" s="159"/>
      <c r="E27" s="236"/>
      <c r="F27" s="161"/>
    </row>
    <row r="28" spans="1:6" ht="72.75" customHeight="1">
      <c r="A28" s="83">
        <v>3</v>
      </c>
      <c r="B28" s="137" t="s">
        <v>71</v>
      </c>
      <c r="C28" s="158" t="s">
        <v>5</v>
      </c>
      <c r="D28" s="159">
        <v>17.4</v>
      </c>
      <c r="E28" s="227"/>
      <c r="F28" s="88">
        <f>+E28*D28</f>
        <v>0</v>
      </c>
    </row>
    <row r="29" spans="1:6" ht="13.5">
      <c r="A29" s="83"/>
      <c r="B29" s="160"/>
      <c r="C29" s="85"/>
      <c r="D29" s="467"/>
      <c r="E29" s="167"/>
      <c r="F29" s="167"/>
    </row>
    <row r="30" spans="1:6" ht="13.5">
      <c r="A30" s="83"/>
      <c r="B30" s="468" t="str">
        <f>+B22</f>
        <v>II. ZIDARSKA DELA</v>
      </c>
      <c r="C30" s="469"/>
      <c r="D30" s="470"/>
      <c r="E30" s="471"/>
      <c r="F30" s="472">
        <f>SUM(F24:F28)</f>
        <v>0</v>
      </c>
    </row>
    <row r="31" spans="1:6" ht="13.5">
      <c r="A31" s="19"/>
      <c r="B31" s="26"/>
      <c r="C31" s="27"/>
      <c r="D31" s="28"/>
      <c r="E31" s="29"/>
      <c r="F31" s="30"/>
    </row>
    <row r="32" spans="1:6" ht="13.5">
      <c r="A32" s="83"/>
      <c r="B32" s="473" t="s">
        <v>90</v>
      </c>
      <c r="C32" s="101"/>
      <c r="D32" s="467"/>
      <c r="E32" s="471"/>
      <c r="F32" s="474"/>
    </row>
    <row r="33" spans="1:6" ht="25.5" customHeight="1">
      <c r="A33" s="83"/>
      <c r="B33" s="677" t="s">
        <v>364</v>
      </c>
      <c r="C33" s="678"/>
      <c r="D33" s="678"/>
      <c r="E33" s="678"/>
      <c r="F33" s="678"/>
    </row>
    <row r="34" spans="1:6" ht="13.5">
      <c r="A34" s="163"/>
      <c r="B34" s="109"/>
      <c r="C34" s="164"/>
      <c r="D34" s="86"/>
      <c r="E34" s="165"/>
      <c r="F34" s="165"/>
    </row>
    <row r="35" spans="1:6" ht="51.75">
      <c r="A35" s="163">
        <v>3</v>
      </c>
      <c r="B35" s="109" t="s">
        <v>74</v>
      </c>
      <c r="C35" s="164" t="s">
        <v>5</v>
      </c>
      <c r="D35" s="86">
        <v>17.4</v>
      </c>
      <c r="E35" s="233"/>
      <c r="F35" s="165">
        <f>+E35*D35</f>
        <v>0</v>
      </c>
    </row>
    <row r="36" spans="1:6" ht="13.5">
      <c r="A36" s="163"/>
      <c r="B36" s="160"/>
      <c r="C36" s="164"/>
      <c r="D36" s="86"/>
      <c r="E36" s="165"/>
      <c r="F36" s="165"/>
    </row>
    <row r="37" spans="1:6" ht="13.5">
      <c r="A37" s="83"/>
      <c r="B37" s="468" t="str">
        <f>+B32</f>
        <v>III.TESARSKA DELA</v>
      </c>
      <c r="C37" s="101"/>
      <c r="D37" s="467"/>
      <c r="E37" s="161"/>
      <c r="F37" s="471">
        <f>SUM(F34:F36)</f>
        <v>0</v>
      </c>
    </row>
    <row r="39" spans="1:6" ht="13.5">
      <c r="A39" s="83"/>
      <c r="B39" s="427" t="s">
        <v>91</v>
      </c>
      <c r="C39" s="85"/>
      <c r="D39" s="101"/>
      <c r="E39" s="167"/>
      <c r="F39" s="474"/>
    </row>
    <row r="40" spans="1:6" ht="13.5">
      <c r="A40" s="83"/>
      <c r="B40" s="181"/>
      <c r="C40" s="85"/>
      <c r="D40" s="101"/>
      <c r="E40" s="167"/>
      <c r="F40" s="474"/>
    </row>
    <row r="41" spans="1:6" ht="40.5" customHeight="1">
      <c r="A41" s="83"/>
      <c r="B41" s="675" t="s">
        <v>190</v>
      </c>
      <c r="C41" s="676"/>
      <c r="D41" s="676"/>
      <c r="E41" s="676"/>
      <c r="F41" s="676"/>
    </row>
    <row r="42" spans="1:6" ht="13.5">
      <c r="A42" s="83"/>
      <c r="B42" s="181"/>
      <c r="C42" s="85"/>
      <c r="D42" s="101"/>
      <c r="E42" s="167"/>
      <c r="F42" s="474"/>
    </row>
    <row r="43" spans="1:6" ht="51.75">
      <c r="A43" s="83">
        <v>1</v>
      </c>
      <c r="B43" s="160" t="s">
        <v>76</v>
      </c>
      <c r="C43" s="85" t="s">
        <v>5</v>
      </c>
      <c r="D43" s="101">
        <v>17.4</v>
      </c>
      <c r="E43" s="229"/>
      <c r="F43" s="167">
        <f>+E43*D43</f>
        <v>0</v>
      </c>
    </row>
    <row r="44" spans="1:6" ht="13.5">
      <c r="A44" s="83"/>
      <c r="B44" s="160"/>
      <c r="C44" s="85"/>
      <c r="D44" s="101"/>
      <c r="E44" s="229"/>
      <c r="F44" s="167"/>
    </row>
    <row r="45" spans="1:9" ht="144" customHeight="1">
      <c r="A45" s="83">
        <v>2</v>
      </c>
      <c r="B45" s="160" t="s">
        <v>239</v>
      </c>
      <c r="C45" s="85" t="s">
        <v>5</v>
      </c>
      <c r="D45" s="101">
        <f>+D43+2336</f>
        <v>2353.4</v>
      </c>
      <c r="E45" s="230"/>
      <c r="F45" s="167">
        <f>+E45*D45</f>
        <v>0</v>
      </c>
      <c r="I45" s="32"/>
    </row>
    <row r="46" spans="1:6" ht="13.5">
      <c r="A46" s="83"/>
      <c r="B46" s="160"/>
      <c r="C46" s="85"/>
      <c r="D46" s="101"/>
      <c r="E46" s="230"/>
      <c r="F46" s="167"/>
    </row>
    <row r="47" spans="1:6" ht="132" customHeight="1">
      <c r="A47" s="83">
        <v>3</v>
      </c>
      <c r="B47" s="160" t="s">
        <v>191</v>
      </c>
      <c r="C47" s="85" t="s">
        <v>5</v>
      </c>
      <c r="D47" s="101">
        <v>110</v>
      </c>
      <c r="E47" s="230"/>
      <c r="F47" s="167">
        <f>+E47*D47</f>
        <v>0</v>
      </c>
    </row>
    <row r="48" spans="1:6" ht="13.5">
      <c r="A48" s="83"/>
      <c r="B48" s="168"/>
      <c r="C48" s="85"/>
      <c r="D48" s="101"/>
      <c r="E48" s="229"/>
      <c r="F48" s="167"/>
    </row>
    <row r="49" spans="1:6" ht="64.5">
      <c r="A49" s="83">
        <v>4</v>
      </c>
      <c r="B49" s="169" t="s">
        <v>192</v>
      </c>
      <c r="C49" s="170"/>
      <c r="D49" s="171"/>
      <c r="E49" s="231"/>
      <c r="F49" s="172"/>
    </row>
    <row r="50" spans="1:6" ht="13.5">
      <c r="A50" s="83"/>
      <c r="B50" s="173"/>
      <c r="C50" s="170"/>
      <c r="D50" s="171"/>
      <c r="E50" s="231"/>
      <c r="F50" s="172"/>
    </row>
    <row r="51" spans="1:6" ht="51.75">
      <c r="A51" s="83" t="s">
        <v>77</v>
      </c>
      <c r="B51" s="174" t="s">
        <v>78</v>
      </c>
      <c r="C51" s="85" t="s">
        <v>16</v>
      </c>
      <c r="D51" s="101">
        <v>171</v>
      </c>
      <c r="E51" s="229"/>
      <c r="F51" s="167">
        <f>+E51*D51</f>
        <v>0</v>
      </c>
    </row>
    <row r="52" spans="1:6" ht="13.5">
      <c r="A52" s="83"/>
      <c r="B52" s="174"/>
      <c r="C52" s="85"/>
      <c r="D52" s="101"/>
      <c r="E52" s="229"/>
      <c r="F52" s="167"/>
    </row>
    <row r="53" spans="1:6" ht="78">
      <c r="A53" s="83" t="s">
        <v>79</v>
      </c>
      <c r="B53" s="174" t="s">
        <v>80</v>
      </c>
      <c r="C53" s="175" t="s">
        <v>16</v>
      </c>
      <c r="D53" s="159">
        <v>570.95</v>
      </c>
      <c r="E53" s="223"/>
      <c r="F53" s="149">
        <f>E53*D53</f>
        <v>0</v>
      </c>
    </row>
    <row r="54" spans="1:6" ht="13.5">
      <c r="A54" s="83"/>
      <c r="B54" s="174"/>
      <c r="C54" s="175"/>
      <c r="D54" s="159"/>
      <c r="E54" s="223"/>
      <c r="F54" s="149"/>
    </row>
    <row r="55" spans="1:6" ht="51.75">
      <c r="A55" s="83" t="s">
        <v>81</v>
      </c>
      <c r="B55" s="174" t="s">
        <v>88</v>
      </c>
      <c r="C55" s="159" t="s">
        <v>16</v>
      </c>
      <c r="D55" s="176">
        <f>12.8+20+18.2+9.6+13.52+15.2+12.4+21.6+7.9+18.9+16.8+10+15.35+13.3+16.3+40.4+26.12+23.6+23.8+52.67</f>
        <v>388.4600000000001</v>
      </c>
      <c r="E55" s="223"/>
      <c r="F55" s="177">
        <f>+E55*D55</f>
        <v>0</v>
      </c>
    </row>
    <row r="56" spans="1:6" ht="13.5">
      <c r="A56" s="83"/>
      <c r="B56" s="174"/>
      <c r="C56" s="159"/>
      <c r="D56" s="159"/>
      <c r="E56" s="223"/>
      <c r="F56" s="178"/>
    </row>
    <row r="57" spans="1:6" ht="78">
      <c r="A57" s="83" t="s">
        <v>82</v>
      </c>
      <c r="B57" s="174" t="s">
        <v>85</v>
      </c>
      <c r="C57" s="175" t="s">
        <v>16</v>
      </c>
      <c r="D57" s="159">
        <v>330.65</v>
      </c>
      <c r="E57" s="223"/>
      <c r="F57" s="149">
        <f>E57*D57</f>
        <v>0</v>
      </c>
    </row>
    <row r="58" spans="1:6" ht="13.5">
      <c r="A58" s="83"/>
      <c r="B58" s="174"/>
      <c r="C58" s="175"/>
      <c r="D58" s="159"/>
      <c r="E58" s="223"/>
      <c r="F58" s="149"/>
    </row>
    <row r="59" spans="1:6" ht="13.5">
      <c r="A59" s="83" t="s">
        <v>83</v>
      </c>
      <c r="B59" s="174" t="s">
        <v>86</v>
      </c>
      <c r="C59" s="175" t="s">
        <v>7</v>
      </c>
      <c r="D59" s="159">
        <v>9</v>
      </c>
      <c r="E59" s="223"/>
      <c r="F59" s="149">
        <f>E59*D59</f>
        <v>0</v>
      </c>
    </row>
    <row r="60" spans="1:6" ht="13.5">
      <c r="A60" s="93"/>
      <c r="B60" s="174"/>
      <c r="C60" s="159"/>
      <c r="D60" s="159"/>
      <c r="E60" s="223"/>
      <c r="F60" s="178"/>
    </row>
    <row r="61" spans="1:6" ht="13.5">
      <c r="A61" s="179" t="s">
        <v>84</v>
      </c>
      <c r="B61" s="174" t="s">
        <v>87</v>
      </c>
      <c r="C61" s="159" t="s">
        <v>16</v>
      </c>
      <c r="D61" s="159">
        <v>51.3</v>
      </c>
      <c r="E61" s="223"/>
      <c r="F61" s="180">
        <f>E61*D61</f>
        <v>0</v>
      </c>
    </row>
    <row r="62" spans="1:6" ht="13.5">
      <c r="A62" s="83"/>
      <c r="B62" s="174"/>
      <c r="C62" s="159"/>
      <c r="D62" s="159"/>
      <c r="E62" s="223"/>
      <c r="F62" s="178"/>
    </row>
    <row r="63" spans="1:6" ht="13.5">
      <c r="A63" s="83"/>
      <c r="B63" s="181"/>
      <c r="C63" s="181"/>
      <c r="D63" s="85"/>
      <c r="E63" s="232"/>
      <c r="F63" s="181"/>
    </row>
    <row r="64" spans="1:6" ht="51.75">
      <c r="A64" s="83">
        <v>5</v>
      </c>
      <c r="B64" s="182" t="s">
        <v>89</v>
      </c>
      <c r="C64" s="176" t="s">
        <v>16</v>
      </c>
      <c r="D64" s="176">
        <f>12.8+20+18.2+9.6+13.52+15.2+12.4+21.6+7.9+18.9+16.8+10+15.35+13.3+16.3+40.4+26.12+23.6+23.8+52.67</f>
        <v>388.4600000000001</v>
      </c>
      <c r="E64" s="223"/>
      <c r="F64" s="177">
        <f>+E64*D64</f>
        <v>0</v>
      </c>
    </row>
    <row r="65" spans="1:6" ht="13.5">
      <c r="A65" s="475"/>
      <c r="B65" s="476"/>
      <c r="C65" s="477"/>
      <c r="D65" s="478"/>
      <c r="E65" s="479"/>
      <c r="F65" s="479"/>
    </row>
    <row r="66" spans="1:6" ht="13.5">
      <c r="A66" s="454"/>
      <c r="B66" s="480" t="str">
        <f>+B39</f>
        <v>IV. KROVSKO - KLEPARSKA DELA</v>
      </c>
      <c r="C66" s="481"/>
      <c r="D66" s="482"/>
      <c r="E66" s="483"/>
      <c r="F66" s="483">
        <f>SUM(F43:F64)</f>
        <v>0</v>
      </c>
    </row>
    <row r="69" spans="1:6" ht="13.5">
      <c r="A69" s="487"/>
      <c r="B69" s="488" t="s">
        <v>92</v>
      </c>
      <c r="C69" s="489"/>
      <c r="D69" s="490"/>
      <c r="E69" s="489"/>
      <c r="F69" s="489"/>
    </row>
    <row r="70" spans="1:6" ht="13.5">
      <c r="A70" s="454"/>
      <c r="B70" s="93"/>
      <c r="C70" s="93"/>
      <c r="D70" s="179"/>
      <c r="E70" s="93"/>
      <c r="F70" s="93"/>
    </row>
    <row r="71" spans="1:6" s="25" customFormat="1" ht="12.75">
      <c r="A71" s="484"/>
      <c r="B71" s="485" t="str">
        <f>+B5</f>
        <v>I. RUŠITVENA DELA</v>
      </c>
      <c r="C71" s="210"/>
      <c r="D71" s="102"/>
      <c r="E71" s="212"/>
      <c r="F71" s="486">
        <f>+F20</f>
        <v>0</v>
      </c>
    </row>
    <row r="72" spans="1:6" s="25" customFormat="1" ht="12.75">
      <c r="A72" s="484"/>
      <c r="B72" s="212"/>
      <c r="C72" s="210"/>
      <c r="D72" s="102"/>
      <c r="E72" s="212"/>
      <c r="F72" s="212"/>
    </row>
    <row r="73" spans="1:6" s="25" customFormat="1" ht="12.75">
      <c r="A73" s="484"/>
      <c r="B73" s="212" t="str">
        <f>+B22</f>
        <v>II. ZIDARSKA DELA</v>
      </c>
      <c r="C73" s="210"/>
      <c r="D73" s="102"/>
      <c r="E73" s="212"/>
      <c r="F73" s="486">
        <f>+F30</f>
        <v>0</v>
      </c>
    </row>
    <row r="74" spans="1:6" s="25" customFormat="1" ht="12.75">
      <c r="A74" s="484"/>
      <c r="B74" s="212"/>
      <c r="C74" s="210"/>
      <c r="D74" s="102"/>
      <c r="E74" s="212"/>
      <c r="F74" s="212"/>
    </row>
    <row r="75" spans="1:6" s="25" customFormat="1" ht="12.75">
      <c r="A75" s="484"/>
      <c r="B75" s="485" t="str">
        <f>+B32</f>
        <v>III.TESARSKA DELA</v>
      </c>
      <c r="C75" s="210"/>
      <c r="D75" s="102"/>
      <c r="E75" s="212"/>
      <c r="F75" s="486">
        <f>+F37</f>
        <v>0</v>
      </c>
    </row>
    <row r="76" spans="1:6" s="25" customFormat="1" ht="12.75">
      <c r="A76" s="484"/>
      <c r="B76" s="212"/>
      <c r="C76" s="210"/>
      <c r="D76" s="102"/>
      <c r="E76" s="212"/>
      <c r="F76" s="212"/>
    </row>
    <row r="77" spans="1:6" s="25" customFormat="1" ht="12.75">
      <c r="A77" s="484"/>
      <c r="B77" s="212" t="str">
        <f>+B39</f>
        <v>IV. KROVSKO - KLEPARSKA DELA</v>
      </c>
      <c r="C77" s="210"/>
      <c r="D77" s="102"/>
      <c r="E77" s="212"/>
      <c r="F77" s="486">
        <f>+F66</f>
        <v>0</v>
      </c>
    </row>
    <row r="78" spans="1:6" s="25" customFormat="1" ht="12.75">
      <c r="A78" s="484"/>
      <c r="B78" s="212"/>
      <c r="C78" s="210"/>
      <c r="D78" s="102"/>
      <c r="E78" s="212"/>
      <c r="F78" s="212"/>
    </row>
    <row r="79" spans="1:6" s="36" customFormat="1" ht="13.5" thickBot="1">
      <c r="A79" s="491"/>
      <c r="B79" s="492" t="s">
        <v>93</v>
      </c>
      <c r="C79" s="493"/>
      <c r="D79" s="494"/>
      <c r="E79" s="492"/>
      <c r="F79" s="495">
        <f>SUM(F71:F77)</f>
        <v>0</v>
      </c>
    </row>
  </sheetData>
  <sheetProtection password="9234" sheet="1" objects="1" scenarios="1"/>
  <mergeCells count="5">
    <mergeCell ref="B7:F7"/>
    <mergeCell ref="B8:F8"/>
    <mergeCell ref="B41:F41"/>
    <mergeCell ref="B33:F33"/>
    <mergeCell ref="B1:F1"/>
  </mergeCells>
  <printOptions/>
  <pageMargins left="0.7500000000000001" right="0.7500000000000001" top="1.2600000000000002" bottom="1" header="0.5" footer="0.5"/>
  <pageSetup fitToHeight="0" fitToWidth="1" orientation="portrait" paperSize="9" scale="86"/>
  <headerFooter alignWithMargins="0">
    <oddHeader>&amp;C&amp;"Calibri,Bold"&amp;K000000PREDRAČUN: ENERGETSKA SANACIJA DOM NA VIDMU&amp;"Calibri,Regular"
</oddHeader>
    <oddFooter>&amp;LProjektantski predračun&amp;R&amp;P/&amp;N</oddFooter>
  </headerFooter>
  <rowBreaks count="1" manualBreakCount="1">
    <brk id="68" max="255" man="1"/>
  </rowBreaks>
  <ignoredErrors>
    <ignoredError sqref="A1" numberStoredAsText="1"/>
    <ignoredError sqref="F30 F79 F66"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P69"/>
  <sheetViews>
    <sheetView showGridLines="0" zoomScale="140" zoomScaleNormal="140" workbookViewId="0" topLeftCell="A62">
      <selection activeCell="E67" sqref="E5:E67"/>
    </sheetView>
  </sheetViews>
  <sheetFormatPr defaultColWidth="9.140625" defaultRowHeight="12" customHeight="1"/>
  <cols>
    <col min="1" max="1" width="4.8515625" style="19" customWidth="1"/>
    <col min="2" max="2" width="35.8515625" style="10" customWidth="1"/>
    <col min="3" max="3" width="6.8515625" style="11" customWidth="1"/>
    <col min="4" max="4" width="9.421875" style="12" customWidth="1"/>
    <col min="5" max="5" width="13.7109375" style="13" customWidth="1"/>
    <col min="6" max="6" width="12.8515625" style="13" customWidth="1"/>
    <col min="7" max="16384" width="9.140625" style="10" customWidth="1"/>
  </cols>
  <sheetData>
    <row r="1" spans="1:9" s="16" customFormat="1" ht="13.5">
      <c r="A1" s="437">
        <v>5</v>
      </c>
      <c r="B1" s="667" t="s">
        <v>95</v>
      </c>
      <c r="C1" s="668"/>
      <c r="D1" s="668"/>
      <c r="E1" s="668"/>
      <c r="F1" s="669"/>
      <c r="G1" s="18"/>
      <c r="H1" s="61"/>
      <c r="I1" s="18"/>
    </row>
    <row r="2" spans="1:6" s="238" customFormat="1" ht="13.5">
      <c r="A2" s="430"/>
      <c r="B2" s="431"/>
      <c r="C2" s="431"/>
      <c r="D2" s="432"/>
      <c r="E2" s="431"/>
      <c r="F2" s="433"/>
    </row>
    <row r="3" spans="1:6" s="16" customFormat="1" ht="13.5">
      <c r="A3" s="441" t="s">
        <v>0</v>
      </c>
      <c r="B3" s="442" t="s">
        <v>1</v>
      </c>
      <c r="C3" s="441" t="s">
        <v>266</v>
      </c>
      <c r="D3" s="443" t="s">
        <v>2</v>
      </c>
      <c r="E3" s="49" t="s">
        <v>3</v>
      </c>
      <c r="F3" s="49" t="s">
        <v>267</v>
      </c>
    </row>
    <row r="4" spans="1:16" s="16" customFormat="1" ht="13.5">
      <c r="A4" s="104"/>
      <c r="B4" s="444"/>
      <c r="C4" s="98"/>
      <c r="D4" s="105"/>
      <c r="E4" s="95"/>
      <c r="F4" s="95"/>
      <c r="G4" s="43"/>
      <c r="H4" s="41"/>
      <c r="I4" s="41"/>
      <c r="J4" s="39"/>
      <c r="K4" s="37"/>
      <c r="P4" s="89"/>
    </row>
    <row r="5" spans="1:6" ht="12" customHeight="1">
      <c r="A5" s="83">
        <v>1</v>
      </c>
      <c r="B5" s="137" t="s">
        <v>193</v>
      </c>
      <c r="C5" s="175" t="s">
        <v>194</v>
      </c>
      <c r="D5" s="183">
        <f>27.3+13.1+11.8+13+7.5+15.3+21.5+7.5+9.6</f>
        <v>126.6</v>
      </c>
      <c r="E5" s="243"/>
      <c r="F5" s="184">
        <f>+E5*D5</f>
        <v>0</v>
      </c>
    </row>
    <row r="6" spans="1:6" ht="12" customHeight="1">
      <c r="A6" s="83"/>
      <c r="B6" s="181"/>
      <c r="C6" s="85"/>
      <c r="D6" s="185"/>
      <c r="E6" s="229"/>
      <c r="F6" s="167"/>
    </row>
    <row r="7" spans="1:6" ht="12" customHeight="1">
      <c r="A7" s="186">
        <v>2</v>
      </c>
      <c r="B7" s="160" t="s">
        <v>195</v>
      </c>
      <c r="C7" s="187" t="s">
        <v>196</v>
      </c>
      <c r="D7" s="188">
        <v>22</v>
      </c>
      <c r="E7" s="243"/>
      <c r="F7" s="184">
        <f>+E7*D7</f>
        <v>0</v>
      </c>
    </row>
    <row r="8" spans="1:6" ht="12" customHeight="1">
      <c r="A8" s="186"/>
      <c r="B8" s="160"/>
      <c r="C8" s="188"/>
      <c r="D8" s="188"/>
      <c r="E8" s="243"/>
      <c r="F8" s="184"/>
    </row>
    <row r="9" spans="1:6" ht="12" customHeight="1">
      <c r="A9" s="83">
        <v>3</v>
      </c>
      <c r="B9" s="174" t="s">
        <v>197</v>
      </c>
      <c r="C9" s="189" t="s">
        <v>23</v>
      </c>
      <c r="D9" s="190">
        <f>+D5*1.2*1.6</f>
        <v>243.072</v>
      </c>
      <c r="E9" s="244"/>
      <c r="F9" s="191">
        <f>+E9*D9</f>
        <v>0</v>
      </c>
    </row>
    <row r="10" spans="1:6" ht="12" customHeight="1">
      <c r="A10" s="496"/>
      <c r="B10" s="137"/>
      <c r="C10" s="175"/>
      <c r="D10" s="188"/>
      <c r="E10" s="243"/>
      <c r="F10" s="184"/>
    </row>
    <row r="11" spans="1:6" ht="12" customHeight="1">
      <c r="A11" s="497">
        <v>4</v>
      </c>
      <c r="B11" s="137" t="s">
        <v>198</v>
      </c>
      <c r="C11" s="175" t="s">
        <v>5</v>
      </c>
      <c r="D11" s="188">
        <f>+D5*1</f>
        <v>126.6</v>
      </c>
      <c r="E11" s="243"/>
      <c r="F11" s="184">
        <f>+E11*D11</f>
        <v>0</v>
      </c>
    </row>
    <row r="12" spans="1:6" ht="12" customHeight="1">
      <c r="A12" s="497"/>
      <c r="B12" s="137"/>
      <c r="C12" s="175"/>
      <c r="D12" s="188"/>
      <c r="E12" s="243"/>
      <c r="F12" s="184"/>
    </row>
    <row r="13" spans="1:6" s="20" customFormat="1" ht="12" customHeight="1">
      <c r="A13" s="496">
        <v>5</v>
      </c>
      <c r="B13" s="137" t="s">
        <v>199</v>
      </c>
      <c r="C13" s="175" t="s">
        <v>23</v>
      </c>
      <c r="D13" s="183">
        <f>0.3*D5</f>
        <v>37.98</v>
      </c>
      <c r="E13" s="243"/>
      <c r="F13" s="184">
        <f>+E13*D13</f>
        <v>0</v>
      </c>
    </row>
    <row r="14" spans="1:6" ht="12" customHeight="1">
      <c r="A14" s="496"/>
      <c r="B14" s="137"/>
      <c r="C14" s="175"/>
      <c r="D14" s="188"/>
      <c r="E14" s="243"/>
      <c r="F14" s="184"/>
    </row>
    <row r="15" spans="1:6" ht="12" customHeight="1">
      <c r="A15" s="186">
        <v>6</v>
      </c>
      <c r="B15" s="160" t="s">
        <v>200</v>
      </c>
      <c r="C15" s="187" t="s">
        <v>194</v>
      </c>
      <c r="D15" s="192">
        <f>27.3+13.1+11.8+13+7.5+7.5+21.5+9.6</f>
        <v>111.3</v>
      </c>
      <c r="E15" s="245"/>
      <c r="F15" s="193">
        <f>+E15*D15</f>
        <v>0</v>
      </c>
    </row>
    <row r="16" spans="1:6" ht="12" customHeight="1">
      <c r="A16" s="186"/>
      <c r="B16" s="160"/>
      <c r="C16" s="187"/>
      <c r="D16" s="192"/>
      <c r="E16" s="245"/>
      <c r="F16" s="193"/>
    </row>
    <row r="17" spans="1:6" ht="12" customHeight="1">
      <c r="A17" s="83">
        <v>7</v>
      </c>
      <c r="B17" s="137" t="s">
        <v>201</v>
      </c>
      <c r="C17" s="175" t="s">
        <v>194</v>
      </c>
      <c r="D17" s="183">
        <f>15.3</f>
        <v>15.3</v>
      </c>
      <c r="E17" s="224"/>
      <c r="F17" s="140">
        <f>+E17*D17</f>
        <v>0</v>
      </c>
    </row>
    <row r="18" spans="1:6" ht="12" customHeight="1">
      <c r="A18" s="83"/>
      <c r="B18" s="160"/>
      <c r="C18" s="187"/>
      <c r="D18" s="192"/>
      <c r="E18" s="245"/>
      <c r="F18" s="193"/>
    </row>
    <row r="19" spans="1:6" ht="12" customHeight="1">
      <c r="A19" s="83">
        <v>8</v>
      </c>
      <c r="B19" s="194" t="s">
        <v>202</v>
      </c>
      <c r="C19" s="187" t="s">
        <v>23</v>
      </c>
      <c r="D19" s="164">
        <v>60</v>
      </c>
      <c r="E19" s="229"/>
      <c r="F19" s="167">
        <f>D19*E19</f>
        <v>0</v>
      </c>
    </row>
    <row r="20" spans="1:6" ht="12" customHeight="1">
      <c r="A20" s="83"/>
      <c r="B20" s="160"/>
      <c r="C20" s="187"/>
      <c r="D20" s="192"/>
      <c r="E20" s="245"/>
      <c r="F20" s="193"/>
    </row>
    <row r="21" spans="1:6" ht="12" customHeight="1">
      <c r="A21" s="186">
        <v>9</v>
      </c>
      <c r="B21" s="194" t="s">
        <v>203</v>
      </c>
      <c r="C21" s="187" t="s">
        <v>23</v>
      </c>
      <c r="D21" s="164">
        <f>+D9-D13-D19</f>
        <v>145.092</v>
      </c>
      <c r="E21" s="229"/>
      <c r="F21" s="167">
        <f>D21*E21</f>
        <v>0</v>
      </c>
    </row>
    <row r="22" spans="1:6" ht="12" customHeight="1">
      <c r="A22" s="186"/>
      <c r="B22" s="181"/>
      <c r="C22" s="181"/>
      <c r="D22" s="181"/>
      <c r="E22" s="236"/>
      <c r="F22" s="161"/>
    </row>
    <row r="23" spans="1:6" ht="12" customHeight="1">
      <c r="A23" s="83">
        <v>10</v>
      </c>
      <c r="B23" s="160" t="s">
        <v>204</v>
      </c>
      <c r="C23" s="195" t="s">
        <v>196</v>
      </c>
      <c r="D23" s="192">
        <v>4</v>
      </c>
      <c r="E23" s="224"/>
      <c r="F23" s="184">
        <f>D23*E23</f>
        <v>0</v>
      </c>
    </row>
    <row r="24" spans="1:6" ht="12" customHeight="1">
      <c r="A24" s="83"/>
      <c r="B24" s="160"/>
      <c r="C24" s="195"/>
      <c r="D24" s="192"/>
      <c r="E24" s="224"/>
      <c r="F24" s="184"/>
    </row>
    <row r="25" spans="1:6" ht="12" customHeight="1">
      <c r="A25" s="186">
        <v>11</v>
      </c>
      <c r="B25" s="160" t="s">
        <v>205</v>
      </c>
      <c r="C25" s="195" t="s">
        <v>196</v>
      </c>
      <c r="D25" s="192">
        <v>23</v>
      </c>
      <c r="E25" s="224"/>
      <c r="F25" s="184">
        <f>D25*E25</f>
        <v>0</v>
      </c>
    </row>
    <row r="26" spans="1:6" ht="12" customHeight="1">
      <c r="A26" s="186"/>
      <c r="B26" s="160"/>
      <c r="C26" s="195"/>
      <c r="D26" s="192"/>
      <c r="E26" s="224"/>
      <c r="F26" s="184"/>
    </row>
    <row r="27" spans="1:6" ht="12" customHeight="1">
      <c r="A27" s="186">
        <v>12</v>
      </c>
      <c r="B27" s="160" t="s">
        <v>206</v>
      </c>
      <c r="C27" s="195" t="s">
        <v>196</v>
      </c>
      <c r="D27" s="192">
        <v>3</v>
      </c>
      <c r="E27" s="224"/>
      <c r="F27" s="184">
        <f>D27*E27</f>
        <v>0</v>
      </c>
    </row>
    <row r="28" spans="1:6" ht="12" customHeight="1">
      <c r="A28" s="186"/>
      <c r="B28" s="160"/>
      <c r="C28" s="187"/>
      <c r="D28" s="192"/>
      <c r="E28" s="229"/>
      <c r="F28" s="184"/>
    </row>
    <row r="29" spans="1:6" ht="12" customHeight="1">
      <c r="A29" s="83">
        <v>13</v>
      </c>
      <c r="B29" s="160" t="s">
        <v>207</v>
      </c>
      <c r="C29" s="187" t="s">
        <v>7</v>
      </c>
      <c r="D29" s="192">
        <f>6+3+2+5+4+5</f>
        <v>25</v>
      </c>
      <c r="E29" s="245"/>
      <c r="F29" s="193">
        <f>+E29*D29</f>
        <v>0</v>
      </c>
    </row>
    <row r="30" spans="1:6" ht="12" customHeight="1">
      <c r="A30" s="83"/>
      <c r="B30" s="160"/>
      <c r="C30" s="187"/>
      <c r="D30" s="192"/>
      <c r="E30" s="229"/>
      <c r="F30" s="184"/>
    </row>
    <row r="31" spans="1:6" ht="12" customHeight="1">
      <c r="A31" s="186">
        <v>14</v>
      </c>
      <c r="B31" s="196" t="s">
        <v>208</v>
      </c>
      <c r="C31" s="187" t="s">
        <v>7</v>
      </c>
      <c r="D31" s="183">
        <v>11</v>
      </c>
      <c r="E31" s="245"/>
      <c r="F31" s="193">
        <f>+E31*D31</f>
        <v>0</v>
      </c>
    </row>
    <row r="32" spans="1:6" ht="12" customHeight="1">
      <c r="A32" s="186"/>
      <c r="B32" s="196"/>
      <c r="C32" s="187"/>
      <c r="D32" s="183"/>
      <c r="E32" s="245"/>
      <c r="F32" s="193"/>
    </row>
    <row r="33" spans="1:6" ht="12" customHeight="1">
      <c r="A33" s="186">
        <v>15</v>
      </c>
      <c r="B33" s="196" t="s">
        <v>209</v>
      </c>
      <c r="C33" s="187" t="s">
        <v>7</v>
      </c>
      <c r="D33" s="183">
        <f>31-D31</f>
        <v>20</v>
      </c>
      <c r="E33" s="245"/>
      <c r="F33" s="193">
        <f>+E33*D33</f>
        <v>0</v>
      </c>
    </row>
    <row r="34" spans="1:6" ht="12" customHeight="1">
      <c r="A34" s="186"/>
      <c r="B34" s="160"/>
      <c r="C34" s="187"/>
      <c r="D34" s="188"/>
      <c r="E34" s="243"/>
      <c r="F34" s="184"/>
    </row>
    <row r="35" spans="1:6" ht="12" customHeight="1">
      <c r="A35" s="83">
        <v>16</v>
      </c>
      <c r="B35" s="160" t="s">
        <v>227</v>
      </c>
      <c r="C35" s="187" t="s">
        <v>7</v>
      </c>
      <c r="D35" s="192">
        <v>24</v>
      </c>
      <c r="E35" s="245"/>
      <c r="F35" s="193">
        <f>+E35*D35</f>
        <v>0</v>
      </c>
    </row>
    <row r="36" spans="1:6" ht="12" customHeight="1">
      <c r="A36" s="83"/>
      <c r="B36" s="181"/>
      <c r="C36" s="85"/>
      <c r="D36" s="185"/>
      <c r="E36" s="229"/>
      <c r="F36" s="167"/>
    </row>
    <row r="37" spans="1:6" s="20" customFormat="1" ht="12" customHeight="1">
      <c r="A37" s="83">
        <v>17</v>
      </c>
      <c r="B37" s="197" t="s">
        <v>210</v>
      </c>
      <c r="C37" s="198" t="s">
        <v>211</v>
      </c>
      <c r="D37" s="199">
        <f>6+6</f>
        <v>12</v>
      </c>
      <c r="E37" s="246"/>
      <c r="F37" s="200">
        <f>+E37*D37</f>
        <v>0</v>
      </c>
    </row>
    <row r="38" spans="1:6" ht="12" customHeight="1">
      <c r="A38" s="83"/>
      <c r="B38" s="181"/>
      <c r="C38" s="85"/>
      <c r="D38" s="185"/>
      <c r="E38" s="229"/>
      <c r="F38" s="167"/>
    </row>
    <row r="39" spans="1:6" ht="12" customHeight="1">
      <c r="A39" s="83">
        <v>18</v>
      </c>
      <c r="B39" s="157" t="s">
        <v>212</v>
      </c>
      <c r="C39" s="85" t="s">
        <v>5</v>
      </c>
      <c r="D39" s="190">
        <f>+D49</f>
        <v>57.3</v>
      </c>
      <c r="E39" s="223"/>
      <c r="F39" s="150">
        <f>+E39*D39</f>
        <v>0</v>
      </c>
    </row>
    <row r="40" spans="1:6" ht="12" customHeight="1">
      <c r="A40" s="83"/>
      <c r="B40" s="181"/>
      <c r="C40" s="85"/>
      <c r="D40" s="185"/>
      <c r="E40" s="229"/>
      <c r="F40" s="167"/>
    </row>
    <row r="41" spans="1:6" ht="12" customHeight="1">
      <c r="A41" s="83">
        <v>19</v>
      </c>
      <c r="B41" s="201" t="s">
        <v>213</v>
      </c>
      <c r="C41" s="85" t="s">
        <v>5</v>
      </c>
      <c r="D41" s="190">
        <f>52*2</f>
        <v>104</v>
      </c>
      <c r="E41" s="223"/>
      <c r="F41" s="150">
        <f>+E41*D41</f>
        <v>0</v>
      </c>
    </row>
    <row r="42" spans="1:6" ht="12" customHeight="1">
      <c r="A42" s="83"/>
      <c r="B42" s="181"/>
      <c r="C42" s="85"/>
      <c r="D42" s="185"/>
      <c r="E42" s="229"/>
      <c r="F42" s="167"/>
    </row>
    <row r="43" spans="1:6" ht="12" customHeight="1">
      <c r="A43" s="83">
        <v>20</v>
      </c>
      <c r="B43" s="160" t="s">
        <v>214</v>
      </c>
      <c r="C43" s="202" t="s">
        <v>16</v>
      </c>
      <c r="D43" s="159">
        <f>12+15</f>
        <v>27</v>
      </c>
      <c r="E43" s="203"/>
      <c r="F43" s="150">
        <f>D43*E43</f>
        <v>0</v>
      </c>
    </row>
    <row r="44" spans="1:6" ht="12" customHeight="1">
      <c r="A44" s="83"/>
      <c r="B44" s="160"/>
      <c r="C44" s="202"/>
      <c r="D44" s="159"/>
      <c r="E44" s="203"/>
      <c r="F44" s="150"/>
    </row>
    <row r="45" spans="1:6" ht="12" customHeight="1">
      <c r="A45" s="83">
        <v>21</v>
      </c>
      <c r="B45" s="160" t="s">
        <v>215</v>
      </c>
      <c r="C45" s="202" t="s">
        <v>16</v>
      </c>
      <c r="D45" s="159">
        <f>46+12</f>
        <v>58</v>
      </c>
      <c r="E45" s="203"/>
      <c r="F45" s="150">
        <f>D45*E45</f>
        <v>0</v>
      </c>
    </row>
    <row r="46" spans="1:6" ht="12" customHeight="1">
      <c r="A46" s="83"/>
      <c r="B46" s="160"/>
      <c r="C46" s="202"/>
      <c r="D46" s="159"/>
      <c r="E46" s="203"/>
      <c r="F46" s="150"/>
    </row>
    <row r="47" spans="1:6" ht="12" customHeight="1">
      <c r="A47" s="83">
        <v>22</v>
      </c>
      <c r="B47" s="160" t="s">
        <v>216</v>
      </c>
      <c r="C47" s="202" t="s">
        <v>5</v>
      </c>
      <c r="D47" s="159">
        <v>19</v>
      </c>
      <c r="E47" s="203"/>
      <c r="F47" s="150">
        <f>+E47*D47</f>
        <v>0</v>
      </c>
    </row>
    <row r="48" spans="1:6" ht="12" customHeight="1">
      <c r="A48" s="83"/>
      <c r="B48" s="160"/>
      <c r="C48" s="202"/>
      <c r="D48" s="159"/>
      <c r="E48" s="203"/>
      <c r="F48" s="150"/>
    </row>
    <row r="49" spans="1:6" ht="12" customHeight="1">
      <c r="A49" s="83">
        <v>23</v>
      </c>
      <c r="B49" s="160" t="s">
        <v>217</v>
      </c>
      <c r="C49" s="202" t="s">
        <v>5</v>
      </c>
      <c r="D49" s="159">
        <f>34.5+22.8</f>
        <v>57.3</v>
      </c>
      <c r="E49" s="203"/>
      <c r="F49" s="150">
        <f>+E49*D49</f>
        <v>0</v>
      </c>
    </row>
    <row r="50" spans="1:6" ht="12" customHeight="1">
      <c r="A50" s="83"/>
      <c r="B50" s="160"/>
      <c r="C50" s="202"/>
      <c r="D50" s="159"/>
      <c r="E50" s="203"/>
      <c r="F50" s="150"/>
    </row>
    <row r="51" spans="1:6" ht="12" customHeight="1">
      <c r="A51" s="83">
        <v>24</v>
      </c>
      <c r="B51" s="160" t="s">
        <v>218</v>
      </c>
      <c r="C51" s="202" t="s">
        <v>5</v>
      </c>
      <c r="D51" s="159">
        <f>+D47+D57+D39</f>
        <v>149.92000000000002</v>
      </c>
      <c r="E51" s="203"/>
      <c r="F51" s="150">
        <f>D51*E51</f>
        <v>0</v>
      </c>
    </row>
    <row r="52" spans="1:6" ht="12" customHeight="1">
      <c r="A52" s="83"/>
      <c r="B52" s="181"/>
      <c r="C52" s="85"/>
      <c r="D52" s="185"/>
      <c r="E52" s="229"/>
      <c r="F52" s="167"/>
    </row>
    <row r="53" spans="1:6" ht="12" customHeight="1">
      <c r="A53" s="83">
        <v>25</v>
      </c>
      <c r="B53" s="204" t="s">
        <v>219</v>
      </c>
      <c r="C53" s="202" t="s">
        <v>5</v>
      </c>
      <c r="D53" s="159">
        <f>95*1.5</f>
        <v>142.5</v>
      </c>
      <c r="E53" s="203"/>
      <c r="F53" s="150">
        <f>D53*E53</f>
        <v>0</v>
      </c>
    </row>
    <row r="54" spans="1:6" ht="12" customHeight="1">
      <c r="A54" s="83"/>
      <c r="B54" s="181"/>
      <c r="C54" s="85"/>
      <c r="D54" s="185"/>
      <c r="E54" s="229"/>
      <c r="F54" s="167"/>
    </row>
    <row r="55" spans="1:6" ht="12" customHeight="1">
      <c r="A55" s="83">
        <v>26</v>
      </c>
      <c r="B55" s="174" t="s">
        <v>220</v>
      </c>
      <c r="C55" s="85" t="s">
        <v>5</v>
      </c>
      <c r="D55" s="185">
        <f>+D47</f>
        <v>19</v>
      </c>
      <c r="E55" s="229"/>
      <c r="F55" s="167">
        <f>+E55*D55</f>
        <v>0</v>
      </c>
    </row>
    <row r="56" spans="1:6" ht="12" customHeight="1">
      <c r="A56" s="83"/>
      <c r="B56" s="174"/>
      <c r="C56" s="85"/>
      <c r="D56" s="185"/>
      <c r="E56" s="229"/>
      <c r="F56" s="167"/>
    </row>
    <row r="57" spans="1:6" ht="12" customHeight="1">
      <c r="A57" s="83">
        <v>27</v>
      </c>
      <c r="B57" s="160" t="s">
        <v>221</v>
      </c>
      <c r="C57" s="85" t="s">
        <v>5</v>
      </c>
      <c r="D57" s="185">
        <f>3.2+3+4+(22+6.05+6.8+13+5)*1.2</f>
        <v>73.62</v>
      </c>
      <c r="E57" s="229"/>
      <c r="F57" s="167">
        <f>+E57*D57</f>
        <v>0</v>
      </c>
    </row>
    <row r="58" spans="1:6" ht="12" customHeight="1">
      <c r="A58" s="83"/>
      <c r="B58" s="160"/>
      <c r="C58" s="85"/>
      <c r="D58" s="185"/>
      <c r="E58" s="229"/>
      <c r="F58" s="167"/>
    </row>
    <row r="59" spans="1:6" ht="12" customHeight="1">
      <c r="A59" s="83">
        <v>28</v>
      </c>
      <c r="B59" s="160" t="s">
        <v>222</v>
      </c>
      <c r="C59" s="187" t="s">
        <v>5</v>
      </c>
      <c r="D59" s="190">
        <f>6*1.5</f>
        <v>9</v>
      </c>
      <c r="E59" s="247"/>
      <c r="F59" s="165">
        <f>D59*E59</f>
        <v>0</v>
      </c>
    </row>
    <row r="60" spans="1:6" ht="12" customHeight="1">
      <c r="A60" s="83"/>
      <c r="B60" s="181"/>
      <c r="C60" s="85"/>
      <c r="D60" s="185"/>
      <c r="E60" s="229"/>
      <c r="F60" s="167"/>
    </row>
    <row r="61" spans="1:6" ht="12" customHeight="1">
      <c r="A61" s="83">
        <v>29</v>
      </c>
      <c r="B61" s="160" t="s">
        <v>223</v>
      </c>
      <c r="C61" s="85" t="s">
        <v>23</v>
      </c>
      <c r="D61" s="185">
        <v>15</v>
      </c>
      <c r="E61" s="229"/>
      <c r="F61" s="167">
        <f>+E61*D61</f>
        <v>0</v>
      </c>
    </row>
    <row r="62" spans="1:6" ht="12" customHeight="1">
      <c r="A62" s="83"/>
      <c r="B62" s="181"/>
      <c r="C62" s="85"/>
      <c r="D62" s="185"/>
      <c r="E62" s="229"/>
      <c r="F62" s="167"/>
    </row>
    <row r="63" spans="1:6" ht="12" customHeight="1">
      <c r="A63" s="83">
        <v>30</v>
      </c>
      <c r="B63" s="160" t="s">
        <v>224</v>
      </c>
      <c r="C63" s="85" t="s">
        <v>7</v>
      </c>
      <c r="D63" s="185">
        <v>4</v>
      </c>
      <c r="E63" s="229"/>
      <c r="F63" s="167">
        <f>+E63*D63</f>
        <v>0</v>
      </c>
    </row>
    <row r="64" spans="1:6" ht="12" customHeight="1">
      <c r="A64" s="83"/>
      <c r="B64" s="181"/>
      <c r="C64" s="85"/>
      <c r="D64" s="185"/>
      <c r="E64" s="229"/>
      <c r="F64" s="167"/>
    </row>
    <row r="65" spans="1:6" ht="12" customHeight="1">
      <c r="A65" s="83">
        <v>31</v>
      </c>
      <c r="B65" s="160" t="s">
        <v>225</v>
      </c>
      <c r="C65" s="85" t="s">
        <v>7</v>
      </c>
      <c r="D65" s="185">
        <v>1</v>
      </c>
      <c r="E65" s="229"/>
      <c r="F65" s="167">
        <f>+E65*D65</f>
        <v>0</v>
      </c>
    </row>
    <row r="66" spans="1:6" ht="12" customHeight="1">
      <c r="A66" s="83"/>
      <c r="B66" s="160"/>
      <c r="C66" s="85"/>
      <c r="D66" s="185"/>
      <c r="E66" s="229"/>
      <c r="F66" s="167"/>
    </row>
    <row r="67" spans="1:6" ht="12" customHeight="1">
      <c r="A67" s="83">
        <v>32</v>
      </c>
      <c r="B67" s="160" t="s">
        <v>226</v>
      </c>
      <c r="C67" s="85" t="s">
        <v>7</v>
      </c>
      <c r="D67" s="185">
        <v>2</v>
      </c>
      <c r="E67" s="229"/>
      <c r="F67" s="167">
        <f>+E67*D67</f>
        <v>0</v>
      </c>
    </row>
    <row r="68" spans="1:6" ht="12" customHeight="1">
      <c r="A68" s="563"/>
      <c r="B68" s="564"/>
      <c r="C68" s="565"/>
      <c r="D68" s="566"/>
      <c r="E68" s="567"/>
      <c r="F68" s="568"/>
    </row>
    <row r="69" spans="1:6" s="36" customFormat="1" ht="13.5" thickBot="1">
      <c r="A69" s="498"/>
      <c r="B69" s="499" t="s">
        <v>238</v>
      </c>
      <c r="C69" s="500"/>
      <c r="D69" s="501"/>
      <c r="E69" s="499"/>
      <c r="F69" s="495">
        <f>SUM(F5:F67)</f>
        <v>0</v>
      </c>
    </row>
  </sheetData>
  <sheetProtection password="9234" sheet="1" objects="1" scenarios="1"/>
  <mergeCells count="1">
    <mergeCell ref="B1:F1"/>
  </mergeCells>
  <printOptions/>
  <pageMargins left="0.7500000000000001" right="0.7500000000000001" top="1.2600000000000002" bottom="1" header="0.5" footer="0.5"/>
  <pageSetup fitToHeight="0" fitToWidth="1" orientation="portrait" paperSize="9" scale="96"/>
  <headerFooter alignWithMargins="0">
    <oddHeader>&amp;C&amp;"Calibri,Bold"&amp;K000000PREDRAČUN: ENERGETSKA SANACIJA DOM NA VIDMU&amp;"Calibri,Regular"
</oddHeader>
    <oddFooter>&amp;LProjektantski predračun&amp;R&amp;P/&amp;N</oddFooter>
  </headerFooter>
  <ignoredErrors>
    <ignoredError sqref="F69"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P96"/>
  <sheetViews>
    <sheetView showGridLines="0" zoomScale="140" zoomScaleNormal="140" workbookViewId="0" topLeftCell="A68">
      <selection activeCell="E56" sqref="E56:E58"/>
    </sheetView>
  </sheetViews>
  <sheetFormatPr defaultColWidth="9.140625" defaultRowHeight="15"/>
  <cols>
    <col min="1" max="1" width="4.8515625" style="19" customWidth="1"/>
    <col min="2" max="2" width="38.421875" style="10" customWidth="1"/>
    <col min="3" max="3" width="6.8515625" style="11" customWidth="1"/>
    <col min="4" max="4" width="9.00390625" style="12" customWidth="1"/>
    <col min="5" max="5" width="11.421875" style="14" customWidth="1"/>
    <col min="6" max="6" width="13.7109375" style="13" customWidth="1"/>
    <col min="7" max="7" width="1.7109375" style="10" customWidth="1"/>
    <col min="8" max="16384" width="9.140625" style="10" customWidth="1"/>
  </cols>
  <sheetData>
    <row r="1" spans="1:8" s="16" customFormat="1" ht="13.5">
      <c r="A1" s="437">
        <v>6</v>
      </c>
      <c r="B1" s="667" t="s">
        <v>401</v>
      </c>
      <c r="C1" s="668"/>
      <c r="D1" s="668"/>
      <c r="E1" s="668"/>
      <c r="F1" s="669"/>
      <c r="G1" s="61"/>
      <c r="H1" s="18"/>
    </row>
    <row r="2" spans="1:6" ht="12.75">
      <c r="A2" s="510"/>
      <c r="B2" s="22"/>
      <c r="C2" s="511"/>
      <c r="D2" s="512"/>
      <c r="E2" s="513"/>
      <c r="F2" s="514"/>
    </row>
    <row r="3" spans="1:16" s="16" customFormat="1" ht="13.5">
      <c r="A3" s="240" t="s">
        <v>0</v>
      </c>
      <c r="B3" s="425" t="s">
        <v>1</v>
      </c>
      <c r="C3" s="240" t="s">
        <v>266</v>
      </c>
      <c r="D3" s="426" t="s">
        <v>2</v>
      </c>
      <c r="E3" s="241" t="s">
        <v>3</v>
      </c>
      <c r="F3" s="241" t="s">
        <v>267</v>
      </c>
      <c r="G3" s="242"/>
      <c r="H3" s="242"/>
      <c r="I3" s="242"/>
      <c r="J3" s="242"/>
      <c r="K3" s="242"/>
      <c r="L3" s="242"/>
      <c r="M3" s="242"/>
      <c r="N3" s="242"/>
      <c r="O3" s="242"/>
      <c r="P3" s="242"/>
    </row>
    <row r="4" spans="1:6" s="16" customFormat="1" ht="13.5">
      <c r="A4" s="107"/>
      <c r="B4" s="503"/>
      <c r="C4" s="503"/>
      <c r="D4" s="504"/>
      <c r="E4" s="505"/>
      <c r="F4" s="505"/>
    </row>
    <row r="5" spans="1:6" s="16" customFormat="1" ht="13.5">
      <c r="A5" s="509" t="s">
        <v>12</v>
      </c>
      <c r="B5" s="681" t="s">
        <v>60</v>
      </c>
      <c r="C5" s="681"/>
      <c r="D5" s="681"/>
      <c r="E5" s="681"/>
      <c r="F5" s="682"/>
    </row>
    <row r="6" spans="1:6" s="16" customFormat="1" ht="13.5">
      <c r="A6" s="107"/>
      <c r="B6" s="503"/>
      <c r="C6" s="503"/>
      <c r="D6" s="504"/>
      <c r="E6" s="505"/>
      <c r="F6" s="505"/>
    </row>
    <row r="7" spans="1:6" ht="25.5">
      <c r="A7" s="83">
        <v>1</v>
      </c>
      <c r="B7" s="160" t="s">
        <v>18</v>
      </c>
      <c r="C7" s="85" t="s">
        <v>7</v>
      </c>
      <c r="D7" s="86">
        <v>1</v>
      </c>
      <c r="E7" s="214"/>
      <c r="F7" s="88">
        <f>+E7*D7</f>
        <v>0</v>
      </c>
    </row>
    <row r="8" spans="1:6" ht="12.75">
      <c r="A8" s="83"/>
      <c r="B8" s="160"/>
      <c r="C8" s="85"/>
      <c r="D8" s="101"/>
      <c r="E8" s="248"/>
      <c r="F8" s="88"/>
    </row>
    <row r="9" spans="1:6" ht="12.75">
      <c r="A9" s="83">
        <v>2</v>
      </c>
      <c r="B9" s="160" t="s">
        <v>244</v>
      </c>
      <c r="C9" s="158" t="s">
        <v>7</v>
      </c>
      <c r="D9" s="101">
        <v>1</v>
      </c>
      <c r="E9" s="229"/>
      <c r="F9" s="167">
        <f>+E9*D9</f>
        <v>0</v>
      </c>
    </row>
    <row r="10" spans="1:6" ht="12.75">
      <c r="A10" s="83"/>
      <c r="B10" s="160"/>
      <c r="C10" s="158"/>
      <c r="D10" s="101"/>
      <c r="E10" s="229"/>
      <c r="F10" s="167"/>
    </row>
    <row r="11" spans="1:6" ht="12.75">
      <c r="A11" s="83"/>
      <c r="B11" s="160" t="s">
        <v>353</v>
      </c>
      <c r="C11" s="158" t="s">
        <v>7</v>
      </c>
      <c r="D11" s="101">
        <v>1</v>
      </c>
      <c r="E11" s="229"/>
      <c r="F11" s="167">
        <f>E11*D11</f>
        <v>0</v>
      </c>
    </row>
    <row r="12" spans="1:6" ht="12.75">
      <c r="A12" s="83"/>
      <c r="B12" s="160"/>
      <c r="C12" s="158"/>
      <c r="D12" s="101"/>
      <c r="E12" s="229"/>
      <c r="F12" s="167"/>
    </row>
    <row r="13" spans="1:6" ht="25.5">
      <c r="A13" s="83"/>
      <c r="B13" s="160" t="s">
        <v>355</v>
      </c>
      <c r="C13" s="158" t="s">
        <v>7</v>
      </c>
      <c r="D13" s="101">
        <v>1</v>
      </c>
      <c r="E13" s="229"/>
      <c r="F13" s="167">
        <f>E13*D13</f>
        <v>0</v>
      </c>
    </row>
    <row r="14" spans="1:6" ht="12.75">
      <c r="A14" s="209"/>
      <c r="B14" s="293"/>
      <c r="C14" s="85"/>
      <c r="D14" s="101"/>
      <c r="E14" s="254"/>
      <c r="F14" s="167"/>
    </row>
    <row r="15" spans="1:6" ht="13.5">
      <c r="A15" s="506"/>
      <c r="B15" s="679" t="s">
        <v>8</v>
      </c>
      <c r="C15" s="680"/>
      <c r="D15" s="680"/>
      <c r="E15" s="507"/>
      <c r="F15" s="508">
        <f>SUM(F7:F13)</f>
        <v>0</v>
      </c>
    </row>
    <row r="16" spans="1:6" ht="12.75">
      <c r="A16" s="416"/>
      <c r="B16" s="417"/>
      <c r="C16" s="418"/>
      <c r="D16" s="419"/>
      <c r="E16" s="502"/>
      <c r="F16" s="421"/>
    </row>
    <row r="17" spans="1:6" s="68" customFormat="1" ht="12">
      <c r="A17" s="509" t="s">
        <v>13</v>
      </c>
      <c r="B17" s="681" t="s">
        <v>233</v>
      </c>
      <c r="C17" s="681"/>
      <c r="D17" s="681"/>
      <c r="E17" s="681"/>
      <c r="F17" s="682"/>
    </row>
    <row r="18" spans="1:6" ht="12.75">
      <c r="A18" s="510"/>
      <c r="B18" s="22"/>
      <c r="C18" s="511"/>
      <c r="D18" s="512"/>
      <c r="E18" s="513"/>
      <c r="F18" s="514"/>
    </row>
    <row r="19" spans="1:6" ht="64.5">
      <c r="A19" s="83">
        <v>1</v>
      </c>
      <c r="B19" s="160" t="s">
        <v>53</v>
      </c>
      <c r="C19" s="85" t="s">
        <v>23</v>
      </c>
      <c r="D19" s="185">
        <f>SUM(D20:D29)</f>
        <v>13.555</v>
      </c>
      <c r="E19" s="250"/>
      <c r="F19" s="88">
        <f>+E19*D19</f>
        <v>0</v>
      </c>
    </row>
    <row r="20" spans="1:6" ht="12.75">
      <c r="A20" s="83"/>
      <c r="B20" s="92" t="s">
        <v>21</v>
      </c>
      <c r="C20" s="210"/>
      <c r="D20" s="211">
        <f>3.95*0.3</f>
        <v>1.185</v>
      </c>
      <c r="E20" s="250"/>
      <c r="F20" s="88"/>
    </row>
    <row r="21" spans="1:6" ht="12.75">
      <c r="A21" s="83"/>
      <c r="B21" s="212" t="s">
        <v>25</v>
      </c>
      <c r="C21" s="98"/>
      <c r="D21" s="211">
        <v>0.63</v>
      </c>
      <c r="E21" s="250"/>
      <c r="F21" s="88"/>
    </row>
    <row r="22" spans="1:6" ht="12.75">
      <c r="A22" s="83"/>
      <c r="B22" s="212" t="s">
        <v>26</v>
      </c>
      <c r="C22" s="98"/>
      <c r="D22" s="211">
        <v>1.32</v>
      </c>
      <c r="E22" s="250"/>
      <c r="F22" s="88"/>
    </row>
    <row r="23" spans="1:6" ht="12.75">
      <c r="A23" s="83"/>
      <c r="B23" s="212" t="s">
        <v>27</v>
      </c>
      <c r="C23" s="98"/>
      <c r="D23" s="211">
        <v>1.35</v>
      </c>
      <c r="E23" s="250"/>
      <c r="F23" s="88"/>
    </row>
    <row r="24" spans="1:6" ht="12.75">
      <c r="A24" s="83"/>
      <c r="B24" s="212" t="s">
        <v>28</v>
      </c>
      <c r="C24" s="98"/>
      <c r="D24" s="211">
        <v>0.67</v>
      </c>
      <c r="E24" s="250"/>
      <c r="F24" s="88"/>
    </row>
    <row r="25" spans="1:6" ht="12.75">
      <c r="A25" s="83"/>
      <c r="B25" s="160" t="s">
        <v>33</v>
      </c>
      <c r="C25" s="85"/>
      <c r="D25" s="185">
        <v>3.72</v>
      </c>
      <c r="E25" s="250"/>
      <c r="F25" s="88"/>
    </row>
    <row r="26" spans="1:6" ht="12.75">
      <c r="A26" s="83"/>
      <c r="B26" s="160" t="s">
        <v>37</v>
      </c>
      <c r="C26" s="85"/>
      <c r="D26" s="185">
        <v>0.6</v>
      </c>
      <c r="E26" s="250"/>
      <c r="F26" s="88"/>
    </row>
    <row r="27" spans="1:6" ht="12.75">
      <c r="A27" s="83"/>
      <c r="B27" s="160" t="s">
        <v>39</v>
      </c>
      <c r="C27" s="85"/>
      <c r="D27" s="185">
        <v>0.48</v>
      </c>
      <c r="E27" s="250"/>
      <c r="F27" s="88"/>
    </row>
    <row r="28" spans="1:6" ht="12.75">
      <c r="A28" s="83"/>
      <c r="B28" s="160" t="s">
        <v>50</v>
      </c>
      <c r="C28" s="85"/>
      <c r="D28" s="185">
        <f>0.7+1.2+0.44</f>
        <v>2.34</v>
      </c>
      <c r="E28" s="250"/>
      <c r="F28" s="88"/>
    </row>
    <row r="29" spans="1:6" ht="12.75">
      <c r="A29" s="83"/>
      <c r="B29" s="160" t="s">
        <v>49</v>
      </c>
      <c r="C29" s="85"/>
      <c r="D29" s="185">
        <v>1.26</v>
      </c>
      <c r="E29" s="250"/>
      <c r="F29" s="88"/>
    </row>
    <row r="30" spans="1:6" ht="12.75">
      <c r="A30" s="83"/>
      <c r="B30" s="160"/>
      <c r="C30" s="85"/>
      <c r="D30" s="185"/>
      <c r="E30" s="250"/>
      <c r="F30" s="88"/>
    </row>
    <row r="31" spans="1:6" ht="78">
      <c r="A31" s="83">
        <v>2</v>
      </c>
      <c r="B31" s="109" t="s">
        <v>54</v>
      </c>
      <c r="C31" s="158" t="s">
        <v>5</v>
      </c>
      <c r="D31" s="185">
        <f>SUM(D32:D41)</f>
        <v>90.80000000000001</v>
      </c>
      <c r="E31" s="250"/>
      <c r="F31" s="88">
        <f>+E31*D31</f>
        <v>0</v>
      </c>
    </row>
    <row r="32" spans="1:6" ht="12.75">
      <c r="A32" s="83"/>
      <c r="B32" s="92" t="s">
        <v>21</v>
      </c>
      <c r="C32" s="210"/>
      <c r="D32" s="211">
        <f>3.95*2</f>
        <v>7.9</v>
      </c>
      <c r="E32" s="250"/>
      <c r="F32" s="88"/>
    </row>
    <row r="33" spans="1:6" ht="12.75">
      <c r="A33" s="83"/>
      <c r="B33" s="212" t="s">
        <v>25</v>
      </c>
      <c r="C33" s="158"/>
      <c r="D33" s="185">
        <v>4.1</v>
      </c>
      <c r="E33" s="250"/>
      <c r="F33" s="88"/>
    </row>
    <row r="34" spans="1:6" ht="12.75">
      <c r="A34" s="83"/>
      <c r="B34" s="109" t="str">
        <f>+B22</f>
        <v>Z4-Z5</v>
      </c>
      <c r="C34" s="158"/>
      <c r="D34" s="185">
        <v>8.8</v>
      </c>
      <c r="E34" s="250"/>
      <c r="F34" s="88"/>
    </row>
    <row r="35" spans="1:6" ht="12.75">
      <c r="A35" s="83"/>
      <c r="B35" s="160" t="str">
        <f>+B23</f>
        <v>Z5-Z6</v>
      </c>
      <c r="C35" s="85"/>
      <c r="D35" s="185">
        <v>9</v>
      </c>
      <c r="E35" s="250"/>
      <c r="F35" s="88"/>
    </row>
    <row r="36" spans="1:6" ht="12.75">
      <c r="A36" s="83"/>
      <c r="B36" s="160" t="str">
        <f>+B24</f>
        <v>Z6-Z7</v>
      </c>
      <c r="C36" s="85"/>
      <c r="D36" s="185">
        <v>5.3</v>
      </c>
      <c r="E36" s="250"/>
      <c r="F36" s="88"/>
    </row>
    <row r="37" spans="1:6" ht="12.75">
      <c r="A37" s="83"/>
      <c r="B37" s="160" t="s">
        <v>33</v>
      </c>
      <c r="C37" s="85"/>
      <c r="D37" s="185">
        <f>12.4*2</f>
        <v>24.8</v>
      </c>
      <c r="E37" s="250"/>
      <c r="F37" s="88"/>
    </row>
    <row r="38" spans="1:6" ht="12.75">
      <c r="A38" s="83"/>
      <c r="B38" s="160" t="s">
        <v>37</v>
      </c>
      <c r="C38" s="85"/>
      <c r="D38" s="185">
        <v>4</v>
      </c>
      <c r="E38" s="250"/>
      <c r="F38" s="88"/>
    </row>
    <row r="39" spans="1:6" ht="12.75">
      <c r="A39" s="83"/>
      <c r="B39" s="160" t="s">
        <v>39</v>
      </c>
      <c r="C39" s="85"/>
      <c r="D39" s="185">
        <v>3.2</v>
      </c>
      <c r="E39" s="250"/>
      <c r="F39" s="88"/>
    </row>
    <row r="40" spans="1:6" ht="12.75">
      <c r="A40" s="83"/>
      <c r="B40" s="160" t="s">
        <v>50</v>
      </c>
      <c r="C40" s="85"/>
      <c r="D40" s="185">
        <f>4.4+8+2.9</f>
        <v>15.3</v>
      </c>
      <c r="E40" s="250"/>
      <c r="F40" s="88"/>
    </row>
    <row r="41" spans="1:6" ht="12.75">
      <c r="A41" s="83"/>
      <c r="B41" s="160" t="str">
        <f>+B29</f>
        <v>S2-S3</v>
      </c>
      <c r="C41" s="85"/>
      <c r="D41" s="185">
        <v>8.4</v>
      </c>
      <c r="E41" s="250"/>
      <c r="F41" s="88"/>
    </row>
    <row r="42" spans="1:6" ht="12.75">
      <c r="A42" s="83"/>
      <c r="B42" s="206"/>
      <c r="C42" s="85"/>
      <c r="D42" s="207"/>
      <c r="E42" s="251"/>
      <c r="F42" s="208"/>
    </row>
    <row r="43" spans="1:6" ht="25.5">
      <c r="A43" s="83">
        <v>3</v>
      </c>
      <c r="B43" s="160" t="s">
        <v>94</v>
      </c>
      <c r="C43" s="205" t="s">
        <v>5</v>
      </c>
      <c r="D43" s="185">
        <f>51.3*1.5</f>
        <v>76.94999999999999</v>
      </c>
      <c r="E43" s="250"/>
      <c r="F43" s="161">
        <f>+E43*D43</f>
        <v>0</v>
      </c>
    </row>
    <row r="44" spans="1:6" ht="12.75">
      <c r="A44" s="83"/>
      <c r="B44" s="206"/>
      <c r="C44" s="85"/>
      <c r="D44" s="207"/>
      <c r="E44" s="251"/>
      <c r="F44" s="208"/>
    </row>
    <row r="45" spans="1:6" ht="90.75">
      <c r="A45" s="83">
        <v>4</v>
      </c>
      <c r="B45" s="160" t="s">
        <v>96</v>
      </c>
      <c r="C45" s="205" t="s">
        <v>5</v>
      </c>
      <c r="D45" s="185">
        <v>65.2</v>
      </c>
      <c r="E45" s="250"/>
      <c r="F45" s="161">
        <f>+E45*D45</f>
        <v>0</v>
      </c>
    </row>
    <row r="46" spans="1:6" ht="12.75">
      <c r="A46" s="83"/>
      <c r="B46" s="206"/>
      <c r="C46" s="85"/>
      <c r="D46" s="207"/>
      <c r="E46" s="251"/>
      <c r="F46" s="208"/>
    </row>
    <row r="47" spans="1:6" ht="64.5">
      <c r="A47" s="83">
        <v>5</v>
      </c>
      <c r="B47" s="109" t="s">
        <v>188</v>
      </c>
      <c r="C47" s="110" t="s">
        <v>5</v>
      </c>
      <c r="D47" s="111">
        <f>6*9.5</f>
        <v>57</v>
      </c>
      <c r="E47" s="227"/>
      <c r="F47" s="112">
        <f>+D47*E47</f>
        <v>0</v>
      </c>
    </row>
    <row r="48" spans="1:6" ht="12.75">
      <c r="A48" s="209"/>
      <c r="B48" s="206"/>
      <c r="C48" s="85"/>
      <c r="D48" s="207"/>
      <c r="E48" s="251"/>
      <c r="F48" s="208"/>
    </row>
    <row r="49" spans="1:6" ht="64.5">
      <c r="A49" s="83">
        <v>6</v>
      </c>
      <c r="B49" s="137" t="s">
        <v>241</v>
      </c>
      <c r="C49" s="151" t="s">
        <v>5</v>
      </c>
      <c r="D49" s="152">
        <f>56.1+76</f>
        <v>132.1</v>
      </c>
      <c r="E49" s="224"/>
      <c r="F49" s="153">
        <f>+D49*E49</f>
        <v>0</v>
      </c>
    </row>
    <row r="50" spans="1:6" ht="12.75">
      <c r="A50" s="63"/>
      <c r="B50" s="64"/>
      <c r="D50" s="65"/>
      <c r="E50" s="252"/>
      <c r="F50" s="67"/>
    </row>
    <row r="51" spans="1:6" ht="13.5" thickBot="1">
      <c r="A51" s="166"/>
      <c r="B51" s="69" t="s">
        <v>234</v>
      </c>
      <c r="C51" s="70"/>
      <c r="D51" s="71"/>
      <c r="E51" s="253"/>
      <c r="F51" s="72">
        <f>SUM(F17:F49)</f>
        <v>0</v>
      </c>
    </row>
    <row r="52" ht="12.75">
      <c r="E52" s="249"/>
    </row>
    <row r="53" ht="12.75">
      <c r="E53" s="249"/>
    </row>
    <row r="54" spans="1:6" ht="12.75">
      <c r="A54" s="83" t="s">
        <v>9</v>
      </c>
      <c r="B54" s="181" t="s">
        <v>242</v>
      </c>
      <c r="C54" s="85"/>
      <c r="D54" s="185"/>
      <c r="E54" s="254"/>
      <c r="F54" s="167"/>
    </row>
    <row r="55" spans="1:6" ht="12.75">
      <c r="A55" s="83"/>
      <c r="B55" s="181"/>
      <c r="C55" s="85"/>
      <c r="D55" s="185"/>
      <c r="E55" s="254"/>
      <c r="F55" s="167"/>
    </row>
    <row r="56" spans="1:6" ht="103.5">
      <c r="A56" s="163">
        <v>1</v>
      </c>
      <c r="B56" s="160" t="s">
        <v>72</v>
      </c>
      <c r="C56" s="164" t="s">
        <v>5</v>
      </c>
      <c r="D56" s="86">
        <f>5.8*3</f>
        <v>17.4</v>
      </c>
      <c r="E56" s="233"/>
      <c r="F56" s="156">
        <f>D56*E56</f>
        <v>0</v>
      </c>
    </row>
    <row r="57" spans="1:6" ht="12.75">
      <c r="A57" s="163"/>
      <c r="B57" s="160"/>
      <c r="C57" s="164"/>
      <c r="D57" s="86"/>
      <c r="E57" s="233"/>
      <c r="F57" s="156"/>
    </row>
    <row r="58" spans="1:6" ht="51.75">
      <c r="A58" s="163">
        <v>2</v>
      </c>
      <c r="B58" s="109" t="s">
        <v>73</v>
      </c>
      <c r="C58" s="164" t="s">
        <v>5</v>
      </c>
      <c r="D58" s="86">
        <f>+D56</f>
        <v>17.4</v>
      </c>
      <c r="E58" s="233"/>
      <c r="F58" s="156">
        <f>D58*E58</f>
        <v>0</v>
      </c>
    </row>
    <row r="59" spans="1:6" ht="12.75">
      <c r="A59" s="63"/>
      <c r="B59" s="64"/>
      <c r="D59" s="65"/>
      <c r="E59" s="66"/>
      <c r="F59" s="67"/>
    </row>
    <row r="60" spans="1:6" s="20" customFormat="1" ht="12.75">
      <c r="A60" s="213"/>
      <c r="B60" s="73" t="str">
        <f>+B54</f>
        <v>TESARSKA DELA</v>
      </c>
      <c r="C60" s="23"/>
      <c r="D60" s="74"/>
      <c r="E60" s="75"/>
      <c r="F60" s="24">
        <f>SUM(F56:F58)</f>
        <v>0</v>
      </c>
    </row>
    <row r="61" spans="1:6" ht="12.75">
      <c r="A61" s="63"/>
      <c r="B61" s="64"/>
      <c r="D61" s="65"/>
      <c r="E61" s="66"/>
      <c r="F61" s="67"/>
    </row>
    <row r="62" spans="1:6" s="25" customFormat="1" ht="12.75">
      <c r="A62" s="58"/>
      <c r="C62" s="34"/>
      <c r="D62" s="56"/>
      <c r="E62" s="59"/>
      <c r="F62" s="35"/>
    </row>
    <row r="63" spans="1:6" s="16" customFormat="1" ht="13.5">
      <c r="A63" s="487"/>
      <c r="B63" s="488" t="s">
        <v>402</v>
      </c>
      <c r="C63" s="489"/>
      <c r="D63" s="490"/>
      <c r="E63" s="489"/>
      <c r="F63" s="489"/>
    </row>
    <row r="64" spans="1:6" ht="12.75">
      <c r="A64" s="209"/>
      <c r="B64" s="206"/>
      <c r="C64" s="85"/>
      <c r="D64" s="207"/>
      <c r="E64" s="517"/>
      <c r="F64" s="208"/>
    </row>
    <row r="65" spans="1:6" ht="12.75">
      <c r="A65" s="83" t="s">
        <v>12</v>
      </c>
      <c r="B65" s="206" t="str">
        <f>B5</f>
        <v>PRIPRAVLJALNA in ZAKLJUČNA DELA</v>
      </c>
      <c r="C65" s="85"/>
      <c r="D65" s="207"/>
      <c r="E65" s="517"/>
      <c r="F65" s="167">
        <f>+F15</f>
        <v>0</v>
      </c>
    </row>
    <row r="66" spans="1:6" ht="12.75">
      <c r="A66" s="83"/>
      <c r="B66" s="206"/>
      <c r="C66" s="85"/>
      <c r="D66" s="207"/>
      <c r="E66" s="517"/>
      <c r="F66" s="167"/>
    </row>
    <row r="67" spans="1:6" ht="12.75">
      <c r="A67" s="83" t="s">
        <v>13</v>
      </c>
      <c r="B67" s="206" t="str">
        <f>+B17</f>
        <v>ZIDARSKA IN FASADERSKA DELA</v>
      </c>
      <c r="C67" s="85"/>
      <c r="D67" s="207"/>
      <c r="E67" s="517"/>
      <c r="F67" s="167">
        <f>+F51</f>
        <v>0</v>
      </c>
    </row>
    <row r="68" spans="1:6" ht="12.75">
      <c r="A68" s="209"/>
      <c r="B68" s="206"/>
      <c r="C68" s="85"/>
      <c r="D68" s="207"/>
      <c r="E68" s="517"/>
      <c r="F68" s="167"/>
    </row>
    <row r="69" spans="1:6" ht="12.75">
      <c r="A69" s="83" t="s">
        <v>9</v>
      </c>
      <c r="B69" s="181" t="str">
        <f>+B60</f>
        <v>TESARSKA DELA</v>
      </c>
      <c r="C69" s="181"/>
      <c r="D69" s="181"/>
      <c r="E69" s="181"/>
      <c r="F69" s="161">
        <f>+F60</f>
        <v>0</v>
      </c>
    </row>
    <row r="70" spans="1:6" ht="12.75">
      <c r="A70" s="209"/>
      <c r="B70" s="206"/>
      <c r="C70" s="85"/>
      <c r="D70" s="207"/>
      <c r="E70" s="517"/>
      <c r="F70" s="208"/>
    </row>
    <row r="71" spans="1:6" s="36" customFormat="1" ht="13.5" thickBot="1">
      <c r="A71" s="491"/>
      <c r="B71" s="515" t="s">
        <v>403</v>
      </c>
      <c r="C71" s="493"/>
      <c r="D71" s="494"/>
      <c r="E71" s="492"/>
      <c r="F71" s="516">
        <f>SUM(F65:F69)</f>
        <v>0</v>
      </c>
    </row>
    <row r="72" spans="1:6" ht="12.75">
      <c r="A72" s="63"/>
      <c r="B72" s="64"/>
      <c r="D72" s="65"/>
      <c r="E72" s="66"/>
      <c r="F72" s="67"/>
    </row>
    <row r="73" spans="1:6" ht="12.75">
      <c r="A73" s="63"/>
      <c r="B73" s="64"/>
      <c r="D73" s="65"/>
      <c r="E73" s="66"/>
      <c r="F73" s="67"/>
    </row>
    <row r="74" spans="1:6" ht="12.75">
      <c r="A74" s="63"/>
      <c r="B74" s="64"/>
      <c r="D74" s="65"/>
      <c r="E74" s="66"/>
      <c r="F74" s="67"/>
    </row>
    <row r="75" spans="1:6" ht="12.75">
      <c r="A75" s="63"/>
      <c r="B75" s="64"/>
      <c r="D75" s="65"/>
      <c r="E75" s="66"/>
      <c r="F75" s="67"/>
    </row>
    <row r="76" spans="1:6" ht="12.75">
      <c r="A76" s="63"/>
      <c r="B76" s="64"/>
      <c r="D76" s="65"/>
      <c r="E76" s="66"/>
      <c r="F76" s="67"/>
    </row>
    <row r="77" spans="1:6" ht="12.75">
      <c r="A77" s="63"/>
      <c r="B77" s="64"/>
      <c r="D77" s="65"/>
      <c r="E77" s="66"/>
      <c r="F77" s="67"/>
    </row>
    <row r="78" spans="1:6" ht="12.75">
      <c r="A78" s="63"/>
      <c r="B78" s="64"/>
      <c r="D78" s="65"/>
      <c r="E78" s="66"/>
      <c r="F78" s="67"/>
    </row>
    <row r="79" spans="1:6" ht="12.75">
      <c r="A79" s="63"/>
      <c r="B79" s="64"/>
      <c r="D79" s="65"/>
      <c r="E79" s="66"/>
      <c r="F79" s="67"/>
    </row>
    <row r="80" spans="1:6" ht="12.75">
      <c r="A80" s="63"/>
      <c r="B80" s="64"/>
      <c r="D80" s="65"/>
      <c r="E80" s="66"/>
      <c r="F80" s="67"/>
    </row>
    <row r="81" spans="1:6" ht="12.75">
      <c r="A81" s="63"/>
      <c r="B81" s="64"/>
      <c r="D81" s="65"/>
      <c r="E81" s="66"/>
      <c r="F81" s="67"/>
    </row>
    <row r="82" spans="1:6" ht="12.75">
      <c r="A82" s="63"/>
      <c r="B82" s="64"/>
      <c r="D82" s="65"/>
      <c r="E82" s="66"/>
      <c r="F82" s="67"/>
    </row>
    <row r="83" spans="1:6" ht="12.75">
      <c r="A83" s="63"/>
      <c r="B83" s="64"/>
      <c r="D83" s="65"/>
      <c r="E83" s="66"/>
      <c r="F83" s="67"/>
    </row>
    <row r="84" spans="1:6" ht="12.75">
      <c r="A84" s="63"/>
      <c r="B84" s="64"/>
      <c r="D84" s="65"/>
      <c r="E84" s="66"/>
      <c r="F84" s="67"/>
    </row>
    <row r="85" spans="1:6" ht="12.75">
      <c r="A85" s="63"/>
      <c r="B85" s="64"/>
      <c r="D85" s="65"/>
      <c r="E85" s="66"/>
      <c r="F85" s="67"/>
    </row>
    <row r="86" spans="1:6" ht="12.75">
      <c r="A86" s="63"/>
      <c r="B86" s="64"/>
      <c r="D86" s="65"/>
      <c r="E86" s="66"/>
      <c r="F86" s="67"/>
    </row>
    <row r="87" spans="1:6" ht="12.75">
      <c r="A87" s="63"/>
      <c r="B87" s="64"/>
      <c r="D87" s="65"/>
      <c r="E87" s="66"/>
      <c r="F87" s="67"/>
    </row>
    <row r="88" spans="1:6" ht="12.75">
      <c r="A88" s="63"/>
      <c r="B88" s="64"/>
      <c r="D88" s="65"/>
      <c r="E88" s="66"/>
      <c r="F88" s="67"/>
    </row>
    <row r="89" spans="1:6" ht="12.75">
      <c r="A89" s="63"/>
      <c r="B89" s="64"/>
      <c r="D89" s="65"/>
      <c r="E89" s="66"/>
      <c r="F89" s="67"/>
    </row>
    <row r="90" spans="1:6" ht="12.75">
      <c r="A90" s="63"/>
      <c r="B90" s="64"/>
      <c r="D90" s="65"/>
      <c r="E90" s="66"/>
      <c r="F90" s="67"/>
    </row>
    <row r="91" spans="1:6" ht="12.75">
      <c r="A91" s="63"/>
      <c r="B91" s="64"/>
      <c r="D91" s="65"/>
      <c r="E91" s="66"/>
      <c r="F91" s="67"/>
    </row>
    <row r="92" spans="1:6" ht="12.75">
      <c r="A92" s="63"/>
      <c r="B92" s="64"/>
      <c r="D92" s="65"/>
      <c r="E92" s="66"/>
      <c r="F92" s="67"/>
    </row>
    <row r="93" spans="1:6" ht="12.75">
      <c r="A93" s="63"/>
      <c r="B93" s="64"/>
      <c r="D93" s="65"/>
      <c r="E93" s="66"/>
      <c r="F93" s="67"/>
    </row>
    <row r="94" spans="1:6" ht="12.75">
      <c r="A94" s="63"/>
      <c r="B94" s="64"/>
      <c r="D94" s="65"/>
      <c r="E94" s="66"/>
      <c r="F94" s="67"/>
    </row>
    <row r="95" spans="1:6" ht="12.75">
      <c r="A95" s="63"/>
      <c r="B95" s="64"/>
      <c r="D95" s="65"/>
      <c r="E95" s="66"/>
      <c r="F95" s="67"/>
    </row>
    <row r="96" spans="1:6" ht="12.75">
      <c r="A96" s="63"/>
      <c r="B96" s="64"/>
      <c r="D96" s="65"/>
      <c r="E96" s="66"/>
      <c r="F96" s="67"/>
    </row>
  </sheetData>
  <sheetProtection password="9234" sheet="1" objects="1" scenarios="1"/>
  <mergeCells count="4">
    <mergeCell ref="B15:D15"/>
    <mergeCell ref="B1:F1"/>
    <mergeCell ref="B17:F17"/>
    <mergeCell ref="B5:F5"/>
  </mergeCells>
  <printOptions/>
  <pageMargins left="0.7500000000000001" right="0.7500000000000001" top="1.2600000000000002" bottom="1" header="0.5" footer="0.5"/>
  <pageSetup fitToHeight="0" fitToWidth="1" orientation="portrait" paperSize="9" scale="94"/>
  <headerFooter alignWithMargins="0">
    <oddHeader>&amp;C&amp;"Calibri,Bold"&amp;K000000PREDRAČUN: ENERGETSKA SANACIJA DOM NA VIDMU&amp;"Calibri,Regular"
</oddHeader>
    <oddFooter>&amp;LProjektantski predračun&amp;R&amp;P/&amp;N</oddFooter>
  </headerFooter>
  <ignoredErrors>
    <ignoredError sqref="F51 F60 F71 F11:F15" emptyCellReference="1"/>
    <ignoredError sqref="A69 A67 A65 A54:F55 B17:F18 A15:A18 A2:A4 A7:A9 A13 G17:IV18 A56:D58 F56:F5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Tringrad</dc:creator>
  <cp:keywords/>
  <dc:description/>
  <cp:lastModifiedBy>Irena Pavliha</cp:lastModifiedBy>
  <cp:lastPrinted>2013-03-11T12:45:37Z</cp:lastPrinted>
  <dcterms:created xsi:type="dcterms:W3CDTF">2012-10-15T11:17:04Z</dcterms:created>
  <dcterms:modified xsi:type="dcterms:W3CDTF">2013-03-11T13:26:49Z</dcterms:modified>
  <cp:category/>
  <cp:version/>
  <cp:contentType/>
  <cp:contentStatus/>
</cp:coreProperties>
</file>